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scr-my.sharepoint.com/personal/sfonsecam_grupoins_com/Documents/Documentos/INS SERVICIOS 2023/4. RED INSPECTORES DE SINIESTROS/2022PP-000006/4. Análisis (Legal y Técnico) y Evaluación/"/>
    </mc:Choice>
  </mc:AlternateContent>
  <xr:revisionPtr revIDLastSave="1192" documentId="13_ncr:1_{16F2760F-C796-4FC4-A7D6-87B0AAFF9BF5}" xr6:coauthVersionLast="47" xr6:coauthVersionMax="47" xr10:uidLastSave="{1B8DFC6A-4979-47A4-AEC4-510231C2A1C3}"/>
  <bookViews>
    <workbookView xWindow="-110" yWindow="-110" windowWidth="19420" windowHeight="10420" activeTab="4" xr2:uid="{00000000-000D-0000-FFFF-FFFF00000000}"/>
  </bookViews>
  <sheets>
    <sheet name="Formulario" sheetId="1" r:id="rId1"/>
    <sheet name="Evaluación Inspectores" sheetId="5" r:id="rId2"/>
    <sheet name="Evaluación Unidades " sheetId="3" r:id="rId3"/>
    <sheet name="Promedios " sheetId="6" r:id="rId4"/>
    <sheet name="Resumen" sheetId="7" r:id="rId5"/>
  </sheets>
  <definedNames>
    <definedName name="_xlnm._FilterDatabase" localSheetId="1" hidden="1">'Evaluación Inspectores'!$A$1:$M$62</definedName>
    <definedName name="_xlnm._FilterDatabase" localSheetId="2" hidden="1">'Evaluación Unidades '!$A$2:$F$67</definedName>
    <definedName name="_xlnm._FilterDatabase" localSheetId="4" hidden="1">Resumen!$B$1:$D$58</definedName>
    <definedName name="_xlnm.Print_Area" localSheetId="0">Formulario!$A$1:$IH$15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3" l="1"/>
  <c r="N25" i="5"/>
  <c r="P25" i="5" s="1"/>
  <c r="F51" i="3"/>
  <c r="E51" i="3"/>
  <c r="D51" i="3"/>
  <c r="D50" i="3"/>
  <c r="E50" i="3"/>
  <c r="F50" i="3"/>
  <c r="G50" i="3" s="1"/>
  <c r="F48" i="3"/>
  <c r="G48" i="3" s="1"/>
  <c r="E48" i="3"/>
  <c r="D48" i="3"/>
  <c r="F47" i="3"/>
  <c r="G47" i="3" s="1"/>
  <c r="E47" i="3"/>
  <c r="D47" i="3"/>
  <c r="F46" i="3"/>
  <c r="G46" i="3" s="1"/>
  <c r="E46" i="3"/>
  <c r="D46" i="3"/>
  <c r="B51" i="3"/>
  <c r="G51" i="3"/>
  <c r="F49" i="3"/>
  <c r="G49" i="3" s="1"/>
  <c r="E49" i="3"/>
  <c r="D49" i="3"/>
  <c r="B49" i="3"/>
  <c r="B50" i="3"/>
  <c r="F67" i="3"/>
  <c r="G67" i="3" s="1"/>
  <c r="E67" i="3"/>
  <c r="D67" i="3"/>
  <c r="B67" i="3"/>
  <c r="F66" i="3"/>
  <c r="G66" i="3" s="1"/>
  <c r="E66" i="3"/>
  <c r="D66" i="3"/>
  <c r="F65" i="3"/>
  <c r="G65" i="3" s="1"/>
  <c r="E65" i="3"/>
  <c r="D65" i="3"/>
  <c r="F64" i="3"/>
  <c r="G64" i="3" s="1"/>
  <c r="E64" i="3"/>
  <c r="D64" i="3"/>
  <c r="F63" i="3"/>
  <c r="G63" i="3" s="1"/>
  <c r="E63" i="3"/>
  <c r="D63" i="3"/>
  <c r="B65" i="3"/>
  <c r="B66" i="3"/>
  <c r="B64" i="3"/>
  <c r="B63" i="3"/>
  <c r="F62" i="3"/>
  <c r="G62" i="3" s="1"/>
  <c r="E62" i="3"/>
  <c r="D62" i="3"/>
  <c r="F61" i="3"/>
  <c r="G61" i="3" s="1"/>
  <c r="E61" i="3"/>
  <c r="D61" i="3"/>
  <c r="B62" i="3"/>
  <c r="B61" i="3"/>
  <c r="F60" i="3"/>
  <c r="G60" i="3" s="1"/>
  <c r="E60" i="3"/>
  <c r="D60" i="3"/>
  <c r="F59" i="3"/>
  <c r="G59" i="3" s="1"/>
  <c r="E59" i="3"/>
  <c r="D59" i="3"/>
  <c r="F58" i="3"/>
  <c r="G58" i="3" s="1"/>
  <c r="E58" i="3"/>
  <c r="D58" i="3"/>
  <c r="B60" i="3"/>
  <c r="B59" i="3"/>
  <c r="B58" i="3"/>
  <c r="F57" i="3"/>
  <c r="G57" i="3" s="1"/>
  <c r="E57" i="3"/>
  <c r="D57" i="3"/>
  <c r="F56" i="3"/>
  <c r="G56" i="3" s="1"/>
  <c r="E56" i="3"/>
  <c r="D56" i="3"/>
  <c r="F55" i="3"/>
  <c r="G55" i="3" s="1"/>
  <c r="E55" i="3"/>
  <c r="D55" i="3"/>
  <c r="F54" i="3"/>
  <c r="G54" i="3" s="1"/>
  <c r="E54" i="3"/>
  <c r="D54" i="3"/>
  <c r="B57" i="3"/>
  <c r="B56" i="3"/>
  <c r="B55" i="3"/>
  <c r="B54" i="3"/>
  <c r="F53" i="3"/>
  <c r="G53" i="3" s="1"/>
  <c r="E53" i="3"/>
  <c r="D53" i="3"/>
  <c r="F52" i="3"/>
  <c r="G52" i="3" s="1"/>
  <c r="E52" i="3"/>
  <c r="D52" i="3"/>
  <c r="B53" i="3"/>
  <c r="B52" i="3"/>
  <c r="B48" i="3"/>
  <c r="B47" i="3"/>
  <c r="B46" i="3"/>
  <c r="F45" i="3"/>
  <c r="G45" i="3" s="1"/>
  <c r="E45" i="3"/>
  <c r="D45" i="3"/>
  <c r="B45" i="3"/>
  <c r="F42" i="3"/>
  <c r="G42" i="3" s="1"/>
  <c r="E42" i="3"/>
  <c r="D42" i="3"/>
  <c r="F41" i="3"/>
  <c r="G41" i="3" s="1"/>
  <c r="E41" i="3"/>
  <c r="D41" i="3"/>
  <c r="F40" i="3"/>
  <c r="G40" i="3" s="1"/>
  <c r="E40" i="3"/>
  <c r="D40" i="3"/>
  <c r="F39" i="3"/>
  <c r="G39" i="3" s="1"/>
  <c r="E39" i="3"/>
  <c r="D39" i="3"/>
  <c r="F38" i="3"/>
  <c r="G38" i="3" s="1"/>
  <c r="E38" i="3"/>
  <c r="D38" i="3"/>
  <c r="F44" i="3"/>
  <c r="G44" i="3" s="1"/>
  <c r="E44" i="3"/>
  <c r="D44" i="3"/>
  <c r="F43" i="3"/>
  <c r="G43" i="3" s="1"/>
  <c r="E43" i="3"/>
  <c r="D43" i="3"/>
  <c r="B44" i="3"/>
  <c r="B43" i="3"/>
  <c r="B41" i="3"/>
  <c r="B42" i="3"/>
  <c r="B40" i="3"/>
  <c r="B39" i="3"/>
  <c r="B38" i="3"/>
  <c r="F37" i="3"/>
  <c r="G37" i="3" s="1"/>
  <c r="E37" i="3"/>
  <c r="D37" i="3"/>
  <c r="F36" i="3"/>
  <c r="G36" i="3" s="1"/>
  <c r="E36" i="3"/>
  <c r="D36" i="3"/>
  <c r="F35" i="3"/>
  <c r="G35" i="3" s="1"/>
  <c r="E35" i="3"/>
  <c r="D35" i="3"/>
  <c r="F34" i="3"/>
  <c r="G34" i="3" s="1"/>
  <c r="E34" i="3"/>
  <c r="D34" i="3"/>
  <c r="F33" i="3"/>
  <c r="G33" i="3" s="1"/>
  <c r="E33" i="3"/>
  <c r="D33" i="3"/>
  <c r="F32" i="3"/>
  <c r="G32" i="3" s="1"/>
  <c r="E32" i="3"/>
  <c r="D32" i="3"/>
  <c r="F31" i="3"/>
  <c r="G31" i="3" s="1"/>
  <c r="E31" i="3"/>
  <c r="D31" i="3"/>
  <c r="F30" i="3"/>
  <c r="G30" i="3" s="1"/>
  <c r="E30" i="3"/>
  <c r="D30" i="3"/>
  <c r="B37" i="3"/>
  <c r="B36" i="3"/>
  <c r="B35" i="3"/>
  <c r="B34" i="3"/>
  <c r="B33" i="3"/>
  <c r="B32" i="3"/>
  <c r="B31" i="3"/>
  <c r="F29" i="3"/>
  <c r="G29" i="3" s="1"/>
  <c r="E29" i="3"/>
  <c r="D29" i="3"/>
  <c r="B29" i="3"/>
  <c r="F28" i="3"/>
  <c r="G28" i="3" s="1"/>
  <c r="E28" i="3"/>
  <c r="D28" i="3"/>
  <c r="F27" i="3"/>
  <c r="G27" i="3" s="1"/>
  <c r="E27" i="3"/>
  <c r="D27" i="3"/>
  <c r="B28" i="3"/>
  <c r="B27" i="3"/>
  <c r="F26" i="3"/>
  <c r="G26" i="3" s="1"/>
  <c r="E26" i="3"/>
  <c r="D26" i="3"/>
  <c r="F25" i="3"/>
  <c r="G25" i="3" s="1"/>
  <c r="E25" i="3"/>
  <c r="D25" i="3"/>
  <c r="F24" i="3"/>
  <c r="G24" i="3" s="1"/>
  <c r="E24" i="3"/>
  <c r="D24" i="3"/>
  <c r="F23" i="3"/>
  <c r="G23" i="3" s="1"/>
  <c r="E23" i="3"/>
  <c r="D23" i="3"/>
  <c r="F22" i="3"/>
  <c r="G22" i="3" s="1"/>
  <c r="E22" i="3"/>
  <c r="D22" i="3"/>
  <c r="B26" i="3"/>
  <c r="B25" i="3"/>
  <c r="B24" i="3"/>
  <c r="B23" i="3"/>
  <c r="B22" i="3"/>
  <c r="F21" i="3"/>
  <c r="G21" i="3" s="1"/>
  <c r="E21" i="3"/>
  <c r="D21" i="3"/>
  <c r="F20" i="3"/>
  <c r="G20" i="3" s="1"/>
  <c r="E20" i="3"/>
  <c r="D20" i="3"/>
  <c r="F19" i="3"/>
  <c r="G19" i="3" s="1"/>
  <c r="E19" i="3"/>
  <c r="D19" i="3"/>
  <c r="F18" i="3"/>
  <c r="G18" i="3" s="1"/>
  <c r="E18" i="3"/>
  <c r="D18" i="3"/>
  <c r="B21" i="3"/>
  <c r="B20" i="3"/>
  <c r="B19" i="3"/>
  <c r="B18" i="3"/>
  <c r="F17" i="3"/>
  <c r="G17" i="3" s="1"/>
  <c r="E17" i="3"/>
  <c r="D17" i="3"/>
  <c r="F16" i="3"/>
  <c r="G16" i="3" s="1"/>
  <c r="E16" i="3"/>
  <c r="D16" i="3"/>
  <c r="F15" i="3"/>
  <c r="G15" i="3" s="1"/>
  <c r="E15" i="3"/>
  <c r="D15" i="3"/>
  <c r="F14" i="3"/>
  <c r="G14" i="3" s="1"/>
  <c r="E14" i="3"/>
  <c r="D14" i="3"/>
  <c r="B17" i="3"/>
  <c r="B16" i="3"/>
  <c r="B15" i="3"/>
  <c r="B14" i="3"/>
  <c r="F13" i="3"/>
  <c r="G13" i="3" s="1"/>
  <c r="E13" i="3"/>
  <c r="D13" i="3"/>
  <c r="F12" i="3"/>
  <c r="G12" i="3" s="1"/>
  <c r="E12" i="3"/>
  <c r="D12" i="3"/>
  <c r="F11" i="3"/>
  <c r="G11" i="3" s="1"/>
  <c r="E11" i="3"/>
  <c r="D11" i="3"/>
  <c r="F10" i="3"/>
  <c r="G10" i="3" s="1"/>
  <c r="E10" i="3"/>
  <c r="D10" i="3"/>
  <c r="F9" i="3"/>
  <c r="G9" i="3" s="1"/>
  <c r="E9" i="3"/>
  <c r="D9" i="3"/>
  <c r="F8" i="3"/>
  <c r="G8" i="3" s="1"/>
  <c r="E8" i="3"/>
  <c r="D8" i="3"/>
  <c r="F7" i="3"/>
  <c r="G7" i="3" s="1"/>
  <c r="E7" i="3"/>
  <c r="D7" i="3"/>
  <c r="B9" i="3"/>
  <c r="B10" i="3"/>
  <c r="B11" i="3"/>
  <c r="B12" i="3"/>
  <c r="B13" i="3"/>
  <c r="B8" i="3"/>
  <c r="B7" i="3"/>
  <c r="F6" i="3"/>
  <c r="G6" i="3" s="1"/>
  <c r="E6" i="3"/>
  <c r="D6" i="3"/>
  <c r="B6" i="3"/>
  <c r="F5" i="3"/>
  <c r="G5" i="3" s="1"/>
  <c r="E5" i="3"/>
  <c r="D5" i="3"/>
  <c r="F3" i="3"/>
  <c r="G3" i="3" s="1"/>
  <c r="F4" i="3"/>
  <c r="G4" i="3" s="1"/>
  <c r="E3" i="3"/>
  <c r="E4" i="3"/>
  <c r="D3" i="3"/>
  <c r="D4" i="3"/>
  <c r="B4" i="3"/>
  <c r="B5" i="3"/>
  <c r="N62" i="5"/>
  <c r="P62" i="5" s="1"/>
  <c r="L62" i="5"/>
  <c r="K62" i="5"/>
  <c r="J62" i="5"/>
  <c r="I62" i="5"/>
  <c r="G62" i="5"/>
  <c r="E62" i="5"/>
  <c r="D62" i="5"/>
  <c r="C62" i="5"/>
  <c r="B62" i="5"/>
  <c r="B31" i="6" s="1"/>
  <c r="N61" i="5"/>
  <c r="P61" i="5" s="1"/>
  <c r="L61" i="5"/>
  <c r="K61" i="5"/>
  <c r="J61" i="5"/>
  <c r="I61" i="5"/>
  <c r="G61" i="5"/>
  <c r="E61" i="5"/>
  <c r="D61" i="5"/>
  <c r="C61" i="5"/>
  <c r="N60" i="5"/>
  <c r="P60" i="5" s="1"/>
  <c r="L60" i="5"/>
  <c r="K60" i="5"/>
  <c r="J60" i="5"/>
  <c r="I60" i="5"/>
  <c r="G60" i="5"/>
  <c r="E60" i="5"/>
  <c r="D60" i="5"/>
  <c r="C60" i="5"/>
  <c r="N59" i="5"/>
  <c r="P59" i="5" s="1"/>
  <c r="L59" i="5"/>
  <c r="K59" i="5"/>
  <c r="J59" i="5"/>
  <c r="I59" i="5"/>
  <c r="G59" i="5"/>
  <c r="E59" i="5"/>
  <c r="D59" i="5"/>
  <c r="C59" i="5"/>
  <c r="N58" i="5"/>
  <c r="P58" i="5" s="1"/>
  <c r="L58" i="5"/>
  <c r="K58" i="5"/>
  <c r="J58" i="5"/>
  <c r="I58" i="5"/>
  <c r="G58" i="5"/>
  <c r="E58" i="5"/>
  <c r="D58" i="5"/>
  <c r="C58" i="5"/>
  <c r="B60" i="5"/>
  <c r="B61" i="5"/>
  <c r="B59" i="5"/>
  <c r="B58" i="5"/>
  <c r="B2" i="6" s="1"/>
  <c r="N57" i="5"/>
  <c r="P57" i="5" s="1"/>
  <c r="L57" i="5"/>
  <c r="K57" i="5"/>
  <c r="J57" i="5"/>
  <c r="I57" i="5"/>
  <c r="G57" i="5"/>
  <c r="E57" i="5"/>
  <c r="D57" i="5"/>
  <c r="C57" i="5"/>
  <c r="N56" i="5"/>
  <c r="P56" i="5" s="1"/>
  <c r="L56" i="5"/>
  <c r="K56" i="5"/>
  <c r="J56" i="5"/>
  <c r="I56" i="5"/>
  <c r="G56" i="5"/>
  <c r="E56" i="5"/>
  <c r="D56" i="5"/>
  <c r="C56" i="5"/>
  <c r="B57" i="5"/>
  <c r="B56" i="5"/>
  <c r="B29" i="6" s="1"/>
  <c r="N55" i="5"/>
  <c r="P55" i="5" s="1"/>
  <c r="L55" i="5"/>
  <c r="K55" i="5"/>
  <c r="J55" i="5"/>
  <c r="I55" i="5"/>
  <c r="G55" i="5"/>
  <c r="E55" i="5"/>
  <c r="D55" i="5"/>
  <c r="C55" i="5"/>
  <c r="N54" i="5"/>
  <c r="P54" i="5" s="1"/>
  <c r="L54" i="5"/>
  <c r="K54" i="5"/>
  <c r="J54" i="5"/>
  <c r="I54" i="5"/>
  <c r="G54" i="5"/>
  <c r="E54" i="5"/>
  <c r="D54" i="5"/>
  <c r="C54" i="5"/>
  <c r="B55" i="5"/>
  <c r="B54" i="5"/>
  <c r="B13" i="6" s="1"/>
  <c r="N53" i="5"/>
  <c r="P53" i="5" s="1"/>
  <c r="L53" i="5"/>
  <c r="K53" i="5"/>
  <c r="J53" i="5"/>
  <c r="I53" i="5"/>
  <c r="G53" i="5"/>
  <c r="E53" i="5"/>
  <c r="D53" i="5"/>
  <c r="C53" i="5"/>
  <c r="N52" i="5"/>
  <c r="P52" i="5" s="1"/>
  <c r="L52" i="5"/>
  <c r="K52" i="5"/>
  <c r="J52" i="5"/>
  <c r="I52" i="5"/>
  <c r="G52" i="5"/>
  <c r="E52" i="5"/>
  <c r="D52" i="5"/>
  <c r="C52" i="5"/>
  <c r="N51" i="5"/>
  <c r="P51" i="5" s="1"/>
  <c r="L51" i="5"/>
  <c r="K51" i="5"/>
  <c r="J51" i="5"/>
  <c r="I51" i="5"/>
  <c r="G51" i="5"/>
  <c r="E51" i="5"/>
  <c r="D51" i="5"/>
  <c r="C51" i="5"/>
  <c r="N50" i="5"/>
  <c r="P50" i="5" s="1"/>
  <c r="L50" i="5"/>
  <c r="K50" i="5"/>
  <c r="J50" i="5"/>
  <c r="I50" i="5"/>
  <c r="G50" i="5"/>
  <c r="E50" i="5"/>
  <c r="D50" i="5"/>
  <c r="C50" i="5"/>
  <c r="B53" i="5"/>
  <c r="B52" i="5"/>
  <c r="B51" i="5"/>
  <c r="B50" i="5"/>
  <c r="B3" i="6" s="1"/>
  <c r="N49" i="5"/>
  <c r="P49" i="5" s="1"/>
  <c r="L49" i="5"/>
  <c r="K49" i="5"/>
  <c r="J49" i="5"/>
  <c r="I49" i="5"/>
  <c r="G49" i="5"/>
  <c r="E49" i="5"/>
  <c r="D49" i="5"/>
  <c r="C49" i="5"/>
  <c r="N48" i="5"/>
  <c r="P48" i="5" s="1"/>
  <c r="L48" i="5"/>
  <c r="K48" i="5"/>
  <c r="J48" i="5"/>
  <c r="I48" i="5"/>
  <c r="G48" i="5"/>
  <c r="E48" i="5"/>
  <c r="D48" i="5"/>
  <c r="C48" i="5"/>
  <c r="B49" i="5"/>
  <c r="B48" i="5"/>
  <c r="B9" i="6" s="1"/>
  <c r="N47" i="5"/>
  <c r="P47" i="5" s="1"/>
  <c r="L47" i="5"/>
  <c r="K47" i="5"/>
  <c r="J47" i="5"/>
  <c r="I47" i="5"/>
  <c r="G47" i="5"/>
  <c r="E47" i="5"/>
  <c r="D47" i="5"/>
  <c r="C47" i="5"/>
  <c r="N46" i="5"/>
  <c r="P46" i="5" s="1"/>
  <c r="L46" i="5"/>
  <c r="K46" i="5"/>
  <c r="J46" i="5"/>
  <c r="I46" i="5"/>
  <c r="G46" i="5"/>
  <c r="E46" i="5"/>
  <c r="D46" i="5"/>
  <c r="C46" i="5"/>
  <c r="N45" i="5"/>
  <c r="P45" i="5" s="1"/>
  <c r="L45" i="5"/>
  <c r="K45" i="5"/>
  <c r="J45" i="5"/>
  <c r="I45" i="5"/>
  <c r="G45" i="5"/>
  <c r="E45" i="5"/>
  <c r="D45" i="5"/>
  <c r="C45" i="5"/>
  <c r="N44" i="5"/>
  <c r="P44" i="5" s="1"/>
  <c r="L44" i="5"/>
  <c r="K44" i="5"/>
  <c r="J44" i="5"/>
  <c r="I44" i="5"/>
  <c r="G44" i="5"/>
  <c r="E44" i="5"/>
  <c r="D44" i="5"/>
  <c r="C44" i="5"/>
  <c r="B47" i="5"/>
  <c r="B46" i="5"/>
  <c r="B22" i="6" s="1"/>
  <c r="B45" i="5"/>
  <c r="B24" i="6" s="1"/>
  <c r="B44" i="5"/>
  <c r="B26" i="6" s="1"/>
  <c r="N43" i="5"/>
  <c r="P43" i="5" s="1"/>
  <c r="L43" i="5"/>
  <c r="K43" i="5"/>
  <c r="J43" i="5"/>
  <c r="I43" i="5"/>
  <c r="G43" i="5"/>
  <c r="E43" i="5"/>
  <c r="D43" i="5"/>
  <c r="C43" i="5"/>
  <c r="B43" i="5"/>
  <c r="B30" i="6" s="1"/>
  <c r="N42" i="5"/>
  <c r="P42" i="5" s="1"/>
  <c r="L42" i="5"/>
  <c r="K42" i="5"/>
  <c r="J42" i="5"/>
  <c r="I42" i="5"/>
  <c r="G42" i="5"/>
  <c r="E42" i="5"/>
  <c r="D42" i="5"/>
  <c r="C42" i="5"/>
  <c r="N41" i="5"/>
  <c r="P41" i="5" s="1"/>
  <c r="L41" i="5"/>
  <c r="K41" i="5"/>
  <c r="J41" i="5"/>
  <c r="I41" i="5"/>
  <c r="G41" i="5"/>
  <c r="E41" i="5"/>
  <c r="D41" i="5"/>
  <c r="C41" i="5"/>
  <c r="D38" i="5"/>
  <c r="E36" i="5"/>
  <c r="N35" i="5"/>
  <c r="P35" i="5" s="1"/>
  <c r="L35" i="5"/>
  <c r="K35" i="5"/>
  <c r="J35" i="5"/>
  <c r="I35" i="5"/>
  <c r="G35" i="5"/>
  <c r="E35" i="5"/>
  <c r="D35" i="5"/>
  <c r="C35" i="5"/>
  <c r="N34" i="5"/>
  <c r="P34" i="5" s="1"/>
  <c r="L34" i="5"/>
  <c r="K34" i="5"/>
  <c r="J34" i="5"/>
  <c r="I34" i="5"/>
  <c r="G34" i="5"/>
  <c r="E34" i="5"/>
  <c r="D34" i="5"/>
  <c r="C34" i="5"/>
  <c r="N33" i="5"/>
  <c r="P33" i="5" s="1"/>
  <c r="L33" i="5"/>
  <c r="K33" i="5"/>
  <c r="J33" i="5"/>
  <c r="I33" i="5"/>
  <c r="G33" i="5"/>
  <c r="E33" i="5"/>
  <c r="D33" i="5"/>
  <c r="C33" i="5"/>
  <c r="N32" i="5"/>
  <c r="P32" i="5" s="1"/>
  <c r="L32" i="5"/>
  <c r="K32" i="5"/>
  <c r="J32" i="5"/>
  <c r="I32" i="5"/>
  <c r="G32" i="5"/>
  <c r="E32" i="5"/>
  <c r="D32" i="5"/>
  <c r="C32" i="5"/>
  <c r="N31" i="5"/>
  <c r="P31" i="5" s="1"/>
  <c r="L31" i="5"/>
  <c r="K31" i="5"/>
  <c r="J31" i="5"/>
  <c r="I31" i="5"/>
  <c r="G31" i="5"/>
  <c r="E31" i="5"/>
  <c r="D31" i="5"/>
  <c r="C31" i="5"/>
  <c r="N30" i="5"/>
  <c r="P30" i="5" s="1"/>
  <c r="L30" i="5"/>
  <c r="K30" i="5"/>
  <c r="J30" i="5"/>
  <c r="I30" i="5"/>
  <c r="G30" i="5"/>
  <c r="E30" i="5"/>
  <c r="D30" i="5"/>
  <c r="C30" i="5"/>
  <c r="N29" i="5"/>
  <c r="P29" i="5" s="1"/>
  <c r="L29" i="5"/>
  <c r="K29" i="5"/>
  <c r="J29" i="5"/>
  <c r="I29" i="5"/>
  <c r="G29" i="5"/>
  <c r="E29" i="5"/>
  <c r="D29" i="5"/>
  <c r="C29" i="5"/>
  <c r="N28" i="5"/>
  <c r="P28" i="5" s="1"/>
  <c r="L28" i="5"/>
  <c r="K28" i="5"/>
  <c r="J28" i="5"/>
  <c r="I28" i="5"/>
  <c r="G28" i="5"/>
  <c r="E28" i="5"/>
  <c r="D28" i="5"/>
  <c r="C28" i="5"/>
  <c r="E27" i="5"/>
  <c r="E25" i="5"/>
  <c r="D23" i="5"/>
  <c r="E21" i="5"/>
  <c r="E17" i="5"/>
  <c r="E13" i="5"/>
  <c r="E6" i="5"/>
  <c r="E5" i="5"/>
  <c r="E2" i="5"/>
  <c r="D15" i="5"/>
  <c r="D8" i="5"/>
  <c r="D4" i="5"/>
  <c r="D19" i="5"/>
  <c r="B42" i="5"/>
  <c r="B41" i="5"/>
  <c r="B28" i="6" s="1"/>
  <c r="N40" i="5"/>
  <c r="P40" i="5" s="1"/>
  <c r="L40" i="5"/>
  <c r="K40" i="5"/>
  <c r="J40" i="5"/>
  <c r="I40" i="5"/>
  <c r="G40" i="5"/>
  <c r="E40" i="5"/>
  <c r="D40" i="5"/>
  <c r="C40" i="5"/>
  <c r="N39" i="5"/>
  <c r="P39" i="5" s="1"/>
  <c r="L39" i="5"/>
  <c r="K39" i="5"/>
  <c r="J39" i="5"/>
  <c r="I39" i="5"/>
  <c r="G39" i="5"/>
  <c r="E39" i="5"/>
  <c r="D39" i="5"/>
  <c r="C39" i="5"/>
  <c r="N38" i="5"/>
  <c r="P38" i="5" s="1"/>
  <c r="L38" i="5"/>
  <c r="K38" i="5"/>
  <c r="J38" i="5"/>
  <c r="I38" i="5"/>
  <c r="G38" i="5"/>
  <c r="E38" i="5"/>
  <c r="C38" i="5"/>
  <c r="N37" i="5"/>
  <c r="P37" i="5" s="1"/>
  <c r="L37" i="5"/>
  <c r="K37" i="5"/>
  <c r="J37" i="5"/>
  <c r="I37" i="5"/>
  <c r="G37" i="5"/>
  <c r="E37" i="5"/>
  <c r="D37" i="5"/>
  <c r="C37" i="5"/>
  <c r="N36" i="5"/>
  <c r="P36" i="5" s="1"/>
  <c r="L36" i="5"/>
  <c r="K36" i="5"/>
  <c r="J36" i="5"/>
  <c r="I36" i="5"/>
  <c r="G36" i="5"/>
  <c r="D36" i="5"/>
  <c r="C36" i="5"/>
  <c r="B40" i="5"/>
  <c r="B39" i="5"/>
  <c r="B38" i="5"/>
  <c r="B33" i="6" s="1"/>
  <c r="B37" i="5"/>
  <c r="B36" i="5"/>
  <c r="B32" i="6" s="1"/>
  <c r="B35" i="5"/>
  <c r="B34" i="5"/>
  <c r="B33" i="5"/>
  <c r="B20" i="6" s="1"/>
  <c r="B32" i="5"/>
  <c r="B31" i="5"/>
  <c r="B18" i="6" s="1"/>
  <c r="B30" i="5"/>
  <c r="B29" i="5"/>
  <c r="B28" i="5"/>
  <c r="B11" i="6" s="1"/>
  <c r="C27" i="5"/>
  <c r="D27" i="5"/>
  <c r="G27" i="5"/>
  <c r="I27" i="5"/>
  <c r="J27" i="5"/>
  <c r="K27" i="5"/>
  <c r="L27" i="5"/>
  <c r="N27" i="5"/>
  <c r="P27" i="5" s="1"/>
  <c r="B27" i="5"/>
  <c r="B27" i="6" s="1"/>
  <c r="N26" i="5"/>
  <c r="L26" i="5"/>
  <c r="K26" i="5"/>
  <c r="J26" i="5"/>
  <c r="I26" i="5"/>
  <c r="G26" i="5"/>
  <c r="E26" i="5"/>
  <c r="D26" i="5"/>
  <c r="C26" i="5"/>
  <c r="L25" i="5"/>
  <c r="K25" i="5"/>
  <c r="J25" i="5"/>
  <c r="I25" i="5"/>
  <c r="G25" i="5"/>
  <c r="D25" i="5"/>
  <c r="C25" i="5"/>
  <c r="B26" i="5"/>
  <c r="B25" i="5"/>
  <c r="B19" i="6" s="1"/>
  <c r="N24" i="5"/>
  <c r="P24" i="5" s="1"/>
  <c r="L24" i="5"/>
  <c r="K24" i="5"/>
  <c r="J24" i="5"/>
  <c r="I24" i="5"/>
  <c r="G24" i="5"/>
  <c r="E24" i="5"/>
  <c r="D24" i="5"/>
  <c r="C24" i="5"/>
  <c r="N23" i="5"/>
  <c r="P23" i="5" s="1"/>
  <c r="L23" i="5"/>
  <c r="K23" i="5"/>
  <c r="J23" i="5"/>
  <c r="I23" i="5"/>
  <c r="G23" i="5"/>
  <c r="E23" i="5"/>
  <c r="C23" i="5"/>
  <c r="N22" i="5"/>
  <c r="P22" i="5" s="1"/>
  <c r="L22" i="5"/>
  <c r="K22" i="5"/>
  <c r="J22" i="5"/>
  <c r="I22" i="5"/>
  <c r="G22" i="5"/>
  <c r="E22" i="5"/>
  <c r="D22" i="5"/>
  <c r="C22" i="5"/>
  <c r="N21" i="5"/>
  <c r="P21" i="5" s="1"/>
  <c r="L21" i="5"/>
  <c r="K21" i="5"/>
  <c r="J21" i="5"/>
  <c r="I21" i="5"/>
  <c r="G21" i="5"/>
  <c r="D21" i="5"/>
  <c r="C21" i="5"/>
  <c r="B24" i="5"/>
  <c r="B23" i="5"/>
  <c r="B5" i="6" s="1"/>
  <c r="B22" i="5"/>
  <c r="B21" i="5"/>
  <c r="B8" i="6" s="1"/>
  <c r="N20" i="5"/>
  <c r="P20" i="5" s="1"/>
  <c r="L20" i="5"/>
  <c r="K20" i="5"/>
  <c r="J20" i="5"/>
  <c r="I20" i="5"/>
  <c r="G20" i="5"/>
  <c r="E20" i="5"/>
  <c r="D20" i="5"/>
  <c r="C20" i="5"/>
  <c r="N19" i="5"/>
  <c r="P19" i="5" s="1"/>
  <c r="L19" i="5"/>
  <c r="K19" i="5"/>
  <c r="J19" i="5"/>
  <c r="I19" i="5"/>
  <c r="G19" i="5"/>
  <c r="E19" i="5"/>
  <c r="C19" i="5"/>
  <c r="N18" i="5"/>
  <c r="P18" i="5" s="1"/>
  <c r="L18" i="5"/>
  <c r="K18" i="5"/>
  <c r="J18" i="5"/>
  <c r="I18" i="5"/>
  <c r="G18" i="5"/>
  <c r="E18" i="5"/>
  <c r="D18" i="5"/>
  <c r="C18" i="5"/>
  <c r="N17" i="5"/>
  <c r="P17" i="5" s="1"/>
  <c r="L17" i="5"/>
  <c r="K17" i="5"/>
  <c r="J17" i="5"/>
  <c r="I17" i="5"/>
  <c r="G17" i="5"/>
  <c r="D17" i="5"/>
  <c r="C17" i="5"/>
  <c r="B20" i="5"/>
  <c r="B15" i="6" s="1"/>
  <c r="B19" i="5"/>
  <c r="B18" i="5"/>
  <c r="B14" i="6" s="1"/>
  <c r="B17" i="5"/>
  <c r="B12" i="6" s="1"/>
  <c r="N16" i="5"/>
  <c r="P16" i="5" s="1"/>
  <c r="L16" i="5"/>
  <c r="K16" i="5"/>
  <c r="J16" i="5"/>
  <c r="I16" i="5"/>
  <c r="G16" i="5"/>
  <c r="E16" i="5"/>
  <c r="D16" i="5"/>
  <c r="C16" i="5"/>
  <c r="N15" i="5"/>
  <c r="P15" i="5" s="1"/>
  <c r="L15" i="5"/>
  <c r="K15" i="5"/>
  <c r="J15" i="5"/>
  <c r="I15" i="5"/>
  <c r="G15" i="5"/>
  <c r="E15" i="5"/>
  <c r="C15" i="5"/>
  <c r="N14" i="5"/>
  <c r="P14" i="5" s="1"/>
  <c r="L14" i="5"/>
  <c r="K14" i="5"/>
  <c r="J14" i="5"/>
  <c r="I14" i="5"/>
  <c r="G14" i="5"/>
  <c r="E14" i="5"/>
  <c r="D14" i="5"/>
  <c r="C14" i="5"/>
  <c r="N13" i="5"/>
  <c r="P13" i="5" s="1"/>
  <c r="L13" i="5"/>
  <c r="K13" i="5"/>
  <c r="J13" i="5"/>
  <c r="I13" i="5"/>
  <c r="G13" i="5"/>
  <c r="D13" i="5"/>
  <c r="C13" i="5"/>
  <c r="B16" i="5"/>
  <c r="B15" i="5"/>
  <c r="B21" i="6" s="1"/>
  <c r="B14" i="5"/>
  <c r="B25" i="6" s="1"/>
  <c r="B13" i="5"/>
  <c r="B23" i="6" s="1"/>
  <c r="C10" i="5"/>
  <c r="N12" i="5"/>
  <c r="P12" i="5" s="1"/>
  <c r="L12" i="5"/>
  <c r="K12" i="5"/>
  <c r="J12" i="5"/>
  <c r="I12" i="5"/>
  <c r="G12" i="5"/>
  <c r="E12" i="5"/>
  <c r="D12" i="5"/>
  <c r="C12" i="5"/>
  <c r="N11" i="5"/>
  <c r="P11" i="5" s="1"/>
  <c r="L11" i="5"/>
  <c r="K11" i="5"/>
  <c r="J11" i="5"/>
  <c r="I11" i="5"/>
  <c r="G11" i="5"/>
  <c r="E11" i="5"/>
  <c r="D11" i="5"/>
  <c r="C11" i="5"/>
  <c r="N10" i="5"/>
  <c r="P10" i="5" s="1"/>
  <c r="L10" i="5"/>
  <c r="K10" i="5"/>
  <c r="J10" i="5"/>
  <c r="I10" i="5"/>
  <c r="G10" i="5"/>
  <c r="E10" i="5"/>
  <c r="D10" i="5"/>
  <c r="N9" i="5"/>
  <c r="P9" i="5" s="1"/>
  <c r="L9" i="5"/>
  <c r="K9" i="5"/>
  <c r="J9" i="5"/>
  <c r="I9" i="5"/>
  <c r="G9" i="5"/>
  <c r="E9" i="5"/>
  <c r="D9" i="5"/>
  <c r="C9" i="5"/>
  <c r="N8" i="5"/>
  <c r="P8" i="5" s="1"/>
  <c r="L8" i="5"/>
  <c r="K8" i="5"/>
  <c r="J8" i="5"/>
  <c r="I8" i="5"/>
  <c r="G8" i="5"/>
  <c r="E8" i="5"/>
  <c r="C8" i="5"/>
  <c r="N7" i="5"/>
  <c r="P7" i="5" s="1"/>
  <c r="L7" i="5"/>
  <c r="K7" i="5"/>
  <c r="J7" i="5"/>
  <c r="I7" i="5"/>
  <c r="G7" i="5"/>
  <c r="E7" i="5"/>
  <c r="D7" i="5"/>
  <c r="C7" i="5"/>
  <c r="B12" i="5"/>
  <c r="B7" i="6" s="1"/>
  <c r="B11" i="5"/>
  <c r="B10" i="5"/>
  <c r="B9" i="5"/>
  <c r="B8" i="5"/>
  <c r="B6" i="6" s="1"/>
  <c r="B7" i="5"/>
  <c r="B6" i="5"/>
  <c r="B4" i="6" s="1"/>
  <c r="C6" i="5"/>
  <c r="D6" i="5"/>
  <c r="G6" i="5"/>
  <c r="I6" i="5"/>
  <c r="J6" i="5"/>
  <c r="K6" i="5"/>
  <c r="L6" i="5"/>
  <c r="N6" i="5"/>
  <c r="P6" i="5" s="1"/>
  <c r="B5" i="5"/>
  <c r="B10" i="6" s="1"/>
  <c r="C5" i="5"/>
  <c r="D5" i="5"/>
  <c r="G5" i="5"/>
  <c r="I5" i="5"/>
  <c r="J5" i="5"/>
  <c r="K5" i="5"/>
  <c r="L5" i="5"/>
  <c r="N5" i="5"/>
  <c r="P5" i="5" s="1"/>
  <c r="L4" i="5"/>
  <c r="K4" i="5"/>
  <c r="J4" i="5"/>
  <c r="I4" i="5"/>
  <c r="G4" i="5"/>
  <c r="E3" i="5"/>
  <c r="E4" i="5"/>
  <c r="C4" i="5"/>
  <c r="L2" i="5"/>
  <c r="L3" i="5"/>
  <c r="K2" i="5"/>
  <c r="K3" i="5"/>
  <c r="J2" i="5"/>
  <c r="J3" i="5"/>
  <c r="I2" i="5"/>
  <c r="I3" i="5"/>
  <c r="G2" i="5"/>
  <c r="G3" i="5"/>
  <c r="D2" i="5"/>
  <c r="D3" i="5"/>
  <c r="B4" i="5"/>
  <c r="N4" i="5"/>
  <c r="P4" i="5" s="1"/>
  <c r="C2" i="5"/>
  <c r="C3" i="5"/>
  <c r="B3" i="5"/>
  <c r="B16" i="6" s="1"/>
  <c r="N3" i="5"/>
  <c r="P3" i="5" s="1"/>
  <c r="N2" i="5"/>
  <c r="B2" i="5"/>
  <c r="B17" i="6" s="1"/>
  <c r="IC27" i="1"/>
  <c r="P26" i="5" l="1"/>
  <c r="P2" i="5"/>
  <c r="B3" i="3"/>
  <c r="IC15" i="1"/>
  <c r="IC16" i="1"/>
  <c r="IC17" i="1"/>
  <c r="IC18" i="1"/>
  <c r="IC19" i="1"/>
  <c r="IC20" i="1"/>
  <c r="IC21" i="1"/>
  <c r="IC22" i="1"/>
  <c r="IC23" i="1"/>
  <c r="IC24" i="1"/>
  <c r="IC25" i="1"/>
  <c r="IC26" i="1"/>
  <c r="IC28" i="1"/>
  <c r="IC29" i="1"/>
  <c r="IC30" i="1"/>
  <c r="IC31" i="1"/>
  <c r="IC32" i="1"/>
  <c r="IC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tc={562B2785-B2CC-45CD-A3BB-9BB67DDFBBF9}</author>
    <author>tc={024FAEA4-B78F-4859-9B2F-34B74F1D765D}</author>
    <author>tc={353D2FB1-3D7D-4AA7-AA57-5E17758FC3D5}</author>
    <author>tc={CCCBC760-058D-4B86-80A3-557121C20875}</author>
    <author>tc={152A0CF5-BD01-47A5-A82D-3D2546425D79}</author>
    <author>tc={1D063495-A548-4DC7-83E5-BFBF05D91245}</author>
    <author>tc={C7BEC287-9D9E-40FD-BF3E-2A3AD9331A5A}</author>
    <author>tc={33CB64FC-3399-455B-8171-BC2D595699AF}</author>
    <author>tc={A5E80AFE-A59A-429D-8FCD-2AC66821E36F}</author>
    <author>tc={41C9D320-5A06-4556-A176-6ABF92C762B6}</author>
    <author>Jackson Andrés Castro Abarca - IS</author>
    <author>tc={5DD353C3-989F-4E72-8DAB-5F8BA274FDC5}</author>
    <author>tc={9BC95002-C379-4CEE-BF43-69FE93709AC2}</author>
    <author>tc={2E530B4F-B4E4-4ADA-AD16-26138F0B7F53}</author>
    <author>tc={92C0254B-9565-47EB-AC51-EC0121705C14}</author>
    <author>tc={8263CD69-C980-4EBC-AF8E-180C45FE1DBB}</author>
    <author>tc={C0FA7EE5-1C1C-4E1C-AF14-515DB06965BA}</author>
    <author>tc={CED21ACB-0B88-4C9D-AF43-3F98DB0E303A}</author>
    <author>tc={483334A0-3764-459D-A9A8-722949E75ECE}</author>
    <author>tc={3122BDCA-C714-4F99-B52B-FEDE0483365E}</author>
    <author>tc={14C67BE1-232A-4049-9628-5E7885B8E371}</author>
    <author>tc={CA5BC833-C5C3-42F2-AE8F-C6F62B068F2E}</author>
    <author>tc={E91B199C-C10F-45E7-89A4-E9FB1EDDDF7D}</author>
    <author>tc={740C1E4B-9406-4460-864D-89477BC37866}</author>
    <author>tc={87228411-ED1F-4EA0-9231-B7F970C974C4}</author>
    <author>tc={F8D96C86-428F-490D-83FB-6203A3FBF638}</author>
    <author>tc={8E54F3D5-3452-4E03-BB73-8A4B233C933E}</author>
    <author>tc={90F5184E-825A-414A-A7C2-4EDB668142BB}</author>
    <author>tc={989947D1-D010-4734-8ECD-02133D9DB82D}</author>
    <author>tc={A2122856-5DA6-4038-BAB7-459A9F6E689B}</author>
    <author>tc={02093121-040C-4DE4-ACE2-0D8FA180F766}</author>
    <author>tc={12A00D80-011E-4B09-A51E-C1B13A81AC13}</author>
    <author>tc={A6C4E366-D83B-4246-9B0E-459203D0F434}</author>
    <author>tc={ABD27198-3C48-4F56-90B5-D48E4AE20CAC}</author>
    <author>tc={06873A2F-C5C0-4DAF-ACAE-9CD3DFE45BDD}</author>
  </authors>
  <commentList>
    <comment ref="N12" authorId="0" shapeId="0" xr:uid="{562B2785-B2CC-45CD-A3BB-9BB67DDFBBF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Esto lo llena Samantha</t>
      </text>
    </comment>
    <comment ref="G14" authorId="1" shapeId="0" xr:uid="{024FAEA4-B78F-4859-9B2F-34B74F1D76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DIRECCIÓN DEL PROVEEDOR.</t>
      </text>
    </comment>
    <comment ref="AL14" authorId="2" shapeId="0" xr:uid="{353D2FB1-3D7D-4AA7-AA57-5E17758FC3D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ZONA A LA CUAL SE ASIGNA</t>
      </text>
    </comment>
    <comment ref="AN14" authorId="3" shapeId="0" xr:uid="{CCCBC760-058D-4B86-80A3-557121C2087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Indicar los años de experiencia</t>
      </text>
    </comment>
    <comment ref="AO14" authorId="4" shapeId="0" xr:uid="{152A0CF5-BD01-47A5-A82D-3D2546425D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Anexo 2
Respuesta:
    Indicar los años de experiencia</t>
      </text>
    </comment>
    <comment ref="AR14" authorId="5" shapeId="0" xr:uid="{1D063495-A548-4DC7-83E5-BFBF05D912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Indicar ( 6to, 9no, 11mo)</t>
      </text>
    </comment>
    <comment ref="AS14" authorId="6" shapeId="0" xr:uid="{C7BEC287-9D9E-40FD-BF3E-2A3AD9331A5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SI/NO</t>
      </text>
    </comment>
    <comment ref="AT14" authorId="7" shapeId="0" xr:uid="{33CB64FC-3399-455B-8171-BC2D595699A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SI/NO</t>
      </text>
    </comment>
    <comment ref="AU14" authorId="8" shapeId="0" xr:uid="{A5E80AFE-A59A-429D-8FCD-2AC66821E36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SI/NO</t>
      </text>
    </comment>
    <comment ref="T15" authorId="9" shapeId="0" xr:uid="{41C9D320-5A06-4556-A176-6ABF92C762B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 nombre de Luz Marina Gómez Bogantes</t>
      </text>
    </comment>
    <comment ref="BR15" authorId="10" shapeId="0" xr:uid="{CCB21259-2758-4AF5-91BA-A615B392A1D2}">
      <text>
        <r>
          <rPr>
            <sz val="11"/>
            <color theme="1"/>
            <rFont val="Calibri"/>
            <family val="2"/>
            <scheme val="minor"/>
          </rPr>
          <t>Jackson Andrés Castro Abarca - IS:
NO LA ACLARA BIEN EN LA GUIA, COLOCA 1 AÑO PERO NO COLOCA REFRERENCIAS</t>
        </r>
      </text>
    </comment>
    <comment ref="FF20" authorId="11" shapeId="0" xr:uid="{5DD353C3-989F-4E72-8DAB-5F8BA274FDC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APORTA CARTA DE VENTA, LA MISMA AUN NO CUENTA CON RTV POR LO QUE NO HA SIDO INSCRITA, SEGUN MOPT PUEDEN CIRCULAR ASÍ 3 MESES
</t>
      </text>
    </comment>
    <comment ref="T23" authorId="12" shapeId="0" xr:uid="{9BC95002-C379-4CEE-BF43-69FE93709AC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 nombre de Cristian Gerardo Orozco Rodríguez</t>
      </text>
    </comment>
    <comment ref="CD23" authorId="13" shapeId="0" xr:uid="{2E530B4F-B4E4-4ADA-AD16-26138F0B7F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incluyó en todas la zonas ofertadas, sin embargo, se agregó solo en Belén.</t>
      </text>
    </comment>
    <comment ref="GO23" authorId="14" shapeId="0" xr:uid="{92C0254B-9565-47EB-AC51-EC0121705C14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dejar usar la unidad hasta que esten los documentos </t>
      </text>
    </comment>
    <comment ref="CR24" authorId="15" shapeId="0" xr:uid="{8263CD69-C980-4EBC-AF8E-180C45FE1D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NUMERO ACTUALIZADO RECIENTE MENTE POR PROBLEMA CON LA LINEA, EL DEL ANEXO YA NO ESTA DISPONIBLE</t>
      </text>
    </comment>
    <comment ref="FH24" authorId="16" shapeId="0" xr:uid="{C0FA7EE5-1C1C-4E1C-AF14-515DB06965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NOTIFICA, PERO LA MISMA AL SER 2022 TIENE TIEMPO DE GRACIA POR LA ENTRADA DE DEKRA SEGUN DECRETO DEL MOPT</t>
      </text>
    </comment>
    <comment ref="FC26" authorId="17" shapeId="0" xr:uid="{CED21ACB-0B88-4C9D-AF43-3F98DB0E303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MODELO 2012 AL MOMENTO DE ENVIAR LA OFERTA CUMPLE CON LOS 10 AÑOS MAXIMO.</t>
      </text>
    </comment>
    <comment ref="BO27" authorId="18" shapeId="0" xr:uid="{483334A0-3764-459D-A9A8-722949E75EC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hay consorcio firmado y no se encuentra inscrito en Hacienda y moroso en la CCSS</t>
      </text>
    </comment>
    <comment ref="BP27" authorId="19" shapeId="0" xr:uid="{3122BDCA-C714-4F99-B52B-FEDE0483365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ENVIA INFORMACIÓN DEL INSPECTOR DE LIBERIA.</t>
      </text>
    </comment>
    <comment ref="BQ27" authorId="20" shapeId="0" xr:uid="{14C67BE1-232A-4049-9628-5E7885B8E37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DEVE VOLVER SUBSANAR NO VIENE FIRMADA</t>
      </text>
    </comment>
    <comment ref="BR27" authorId="21" shapeId="0" xr:uid="{CA5BC833-C5C3-42F2-AE8F-C6F62B068F2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GUIA NO VIENE FIRMADA DEBE VOLVER A SUBSANAR</t>
      </text>
    </comment>
    <comment ref="BV27" authorId="22" shapeId="0" xr:uid="{E91B199C-C10F-45E7-89A4-E9FB1EDDDF7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LOS ENVIA DEBE SUBSANAR NUEVAMENTE</t>
      </text>
    </comment>
    <comment ref="CD27" authorId="23" shapeId="0" xr:uid="{740C1E4B-9406-4460-864D-89477BC37866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hay consorcio firmado y no se encuentra inscrito en Hacienda y moroso en la CCSS
</t>
      </text>
    </comment>
    <comment ref="CF27" authorId="24" shapeId="0" xr:uid="{87228411-ED1F-4EA0-9231-B7F970C974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 SIN LAS FIRMAS Y MAL LLENADA LA INFORMACIÓN</t>
      </text>
    </comment>
    <comment ref="CG27" authorId="25" shapeId="0" xr:uid="{F8D96C86-428F-490D-83FB-6203A3FBF63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 SIN LAS FIRMAS Y MAL LLENADA LA INFORMACIÓN</t>
      </text>
    </comment>
    <comment ref="CH27" authorId="26" shapeId="0" xr:uid="{8E54F3D5-3452-4E03-BB73-8A4B233C933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 SIN LAS FIRMAS Y MAL LLENADA LA INFORMACIÓN</t>
      </text>
    </comment>
    <comment ref="FK27" authorId="27" shapeId="0" xr:uid="{90F5184E-825A-414A-A7C2-4EDB668142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Segunda móvil de Upala.</t>
      </text>
    </comment>
    <comment ref="FM28" authorId="28" shapeId="0" xr:uid="{989947D1-D010-4734-8ECD-02133D9DB82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 MOMENTO DE ENVIAR LA OFERTA CUMPLE CON LOS 20 AÑOS, PARA EL 2023 YA ESTARIA FUERA DEL TIEMPO</t>
      </text>
    </comment>
    <comment ref="BG29" authorId="29" shapeId="0" xr:uid="{A2122856-5DA6-4038-BAB7-459A9F6E689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ADJUNTA DECLARACIÓN JURADA DE COMPROMISO DE SOLVENTAR LOS DOCUMENTOS POR LO DE LAS VACACIONES DE LAS ESCUELAS/</t>
      </text>
    </comment>
    <comment ref="CK29" authorId="30" shapeId="0" xr:uid="{02093121-040C-4DE4-ACE2-0D8FA180F7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ADJUNTA DECLARACIÓN JURADA DE COMPROMISO DE SOLVENTAR LOS DOCUMENTOS POR LO DE LAS VACACIONES DE LAS ESCUELAS/</t>
      </text>
    </comment>
    <comment ref="GB29" authorId="31" shapeId="0" xr:uid="{12A00D80-011E-4B09-A51E-C1B13A81AC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AÑO 2022 ESTA EN PRORROGA POR MOPT</t>
      </text>
    </comment>
    <comment ref="AH30" authorId="32" shapeId="0" xr:uid="{A6C4E366-D83B-4246-9B0E-459203D0F43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 incluir a los inspectores a su planilla</t>
      </text>
    </comment>
    <comment ref="FC30" authorId="33" shapeId="0" xr:uid="{ABD27198-3C48-4F56-90B5-D48E4AE20CA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2002 al momento de enviar la oferta cumple con 20 años , para el 2023 estaria fuera de los años establecidos</t>
      </text>
    </comment>
    <comment ref="FC33" authorId="34" shapeId="0" xr:uid="{06873A2F-C5C0-4DAF-ACAE-9CD3DFE45BD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2002 al momento de enviar la oferta cumple con 20 años , para el 2023 estaria fuera de los años establecidos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tc={A2FD50D5-479F-4D83-9B34-7B3EA358A96A}</author>
  </authors>
  <commentList>
    <comment ref="M51" authorId="0" shapeId="0" xr:uid="{A2FD50D5-479F-4D83-9B34-7B3EA358A96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 con lorenzo</t>
      </text>
    </comment>
  </commentList>
</comments>
</file>

<file path=xl/sharedStrings.xml><?xml version="1.0" encoding="utf-8"?>
<sst xmlns="http://schemas.openxmlformats.org/spreadsheetml/2006/main" count="4813" uniqueCount="873">
  <si>
    <t>EVALUACION DE OFERTAS DE PROVEDORES
Financiero Administrativo</t>
  </si>
  <si>
    <t xml:space="preserve">RED DE PROVEEDORES: SINIESTROS </t>
  </si>
  <si>
    <t>NUMERO DE CONTRATACION: 2022PP-000006</t>
  </si>
  <si>
    <t>FECHA : 28/11/22</t>
  </si>
  <si>
    <t>Datos Generales</t>
  </si>
  <si>
    <t>Representante Legal</t>
  </si>
  <si>
    <t xml:space="preserve">ASPECTOS FORMALES </t>
  </si>
  <si>
    <t>ASPECTOS TÉCNICOS</t>
  </si>
  <si>
    <t xml:space="preserve">N° OFERTA </t>
  </si>
  <si>
    <t>Nombre Oferente</t>
  </si>
  <si>
    <t>Nombre de Fantasía</t>
  </si>
  <si>
    <t>Tipo de Identificación Física/Juridica</t>
  </si>
  <si>
    <t>Numero de Cédula Física/Juridica</t>
  </si>
  <si>
    <t xml:space="preserve">Dirección </t>
  </si>
  <si>
    <t>Nombre</t>
  </si>
  <si>
    <t>Numero Cédula</t>
  </si>
  <si>
    <t xml:space="preserve">Copia Cédula </t>
  </si>
  <si>
    <t>Dirección</t>
  </si>
  <si>
    <t>Calidades</t>
  </si>
  <si>
    <t>Certificación de personería legal, naturaleza  y propiedad de las acciones - Personas Jurídicas</t>
  </si>
  <si>
    <t>Zona a ofertar</t>
  </si>
  <si>
    <t>Zona Base</t>
  </si>
  <si>
    <t>Zona  2</t>
  </si>
  <si>
    <t>Zona 3</t>
  </si>
  <si>
    <t>Zona 4</t>
  </si>
  <si>
    <t xml:space="preserve">Zona 5 </t>
  </si>
  <si>
    <t>Entidad Bancaria</t>
  </si>
  <si>
    <t xml:space="preserve">Cuenta Corriente </t>
  </si>
  <si>
    <t xml:space="preserve">Cuenta Cliente 
(SINPE-IBAN)                                                                         </t>
  </si>
  <si>
    <t>Persona Contacto</t>
  </si>
  <si>
    <t>Numero de Tel Persona Contacto</t>
  </si>
  <si>
    <t xml:space="preserve">Correo de notificaciones 
</t>
  </si>
  <si>
    <t>Declaración Jurada 
(Anexo 3)</t>
  </si>
  <si>
    <t>Declaración Jurada Experiencia (Anexo 2)</t>
  </si>
  <si>
    <t xml:space="preserve">Estado CCSS                                                                        </t>
  </si>
  <si>
    <t xml:space="preserve">Estado Fodesaf                                                    </t>
  </si>
  <si>
    <t>Estado Hacienda</t>
  </si>
  <si>
    <t xml:space="preserve">Estado Persona Juridica </t>
  </si>
  <si>
    <t>Hoja de Delincuencia</t>
  </si>
  <si>
    <t xml:space="preserve">Administración Tributaria </t>
  </si>
  <si>
    <t>CCSS</t>
  </si>
  <si>
    <t>Póliza de Riesgos del Trabajo</t>
  </si>
  <si>
    <t>Timbres</t>
  </si>
  <si>
    <t>Nombre de Inspector</t>
  </si>
  <si>
    <t>Zona</t>
  </si>
  <si>
    <t>Declaración Jurada Inspector (Anexo 4)</t>
  </si>
  <si>
    <t>Experiencia Inspección de Siniestros
(Años)2</t>
  </si>
  <si>
    <t>Experiencia Servicios de Desplazamiento 
(Años)3</t>
  </si>
  <si>
    <t xml:space="preserve">Cédula de identidad. </t>
  </si>
  <si>
    <t>Licencia de conducir.</t>
  </si>
  <si>
    <t>Título de escolaridad.</t>
  </si>
  <si>
    <t xml:space="preserve">Titulo de Mecánica </t>
  </si>
  <si>
    <t xml:space="preserve">Titulo Servicio al Cliente </t>
  </si>
  <si>
    <t xml:space="preserve">Titulo Ofimatica </t>
  </si>
  <si>
    <t>Hoja de Delincuencia.</t>
  </si>
  <si>
    <t xml:space="preserve">CCSS
(Planilla - Trabajador Independiente) </t>
  </si>
  <si>
    <t xml:space="preserve">Correo </t>
  </si>
  <si>
    <t xml:space="preserve">Teléfono </t>
  </si>
  <si>
    <t>Nombre de Inspector 2</t>
  </si>
  <si>
    <t>Zona 2</t>
  </si>
  <si>
    <t>Declaración Jurada Inspector (Anexo 4) 2</t>
  </si>
  <si>
    <t>Experiencia Inspección de Siniestros
(Años) 2</t>
  </si>
  <si>
    <t>Experiencia Servicios de Desplazamiento 
(Años) 2</t>
  </si>
  <si>
    <t>Cédula de indentidad. 2</t>
  </si>
  <si>
    <t>Licencia de conducir 2</t>
  </si>
  <si>
    <t>Título de escolaridad 2</t>
  </si>
  <si>
    <t>Titulo de Mecánica 2</t>
  </si>
  <si>
    <t>Titulo Servicio al Cliente 2</t>
  </si>
  <si>
    <t>Titulo Ofimatica 2</t>
  </si>
  <si>
    <t>Hoja de Delincuencia 2</t>
  </si>
  <si>
    <t>CCSS
(Planilla - Trabajador Independiente) 2</t>
  </si>
  <si>
    <t>Correo 2</t>
  </si>
  <si>
    <t>Teléfono 2</t>
  </si>
  <si>
    <t>Nombre de Inspector 3</t>
  </si>
  <si>
    <t>Zona 32</t>
  </si>
  <si>
    <t>Declaración Jurada Inspector (Anexo 4) 3</t>
  </si>
  <si>
    <t>Experiencia Inspección de Siniestros
(Años) 3</t>
  </si>
  <si>
    <t>Experiencia Servicios de Desplazamiento 
(Años) 3</t>
  </si>
  <si>
    <t>Cédula de indentidad 3</t>
  </si>
  <si>
    <t>Licencia de conducir 3</t>
  </si>
  <si>
    <t>Título de escolaridad 3</t>
  </si>
  <si>
    <t>Titulo de Mecánica 3</t>
  </si>
  <si>
    <t>Titulo Servicio al Cliente 3</t>
  </si>
  <si>
    <t>Titulo Ofimatica 3</t>
  </si>
  <si>
    <t>Hoja de Delincuencia 3</t>
  </si>
  <si>
    <t>CCSS
(Planilla - Trabajador Independiente) 3</t>
  </si>
  <si>
    <t>Correo 3</t>
  </si>
  <si>
    <t>Teléfono 3</t>
  </si>
  <si>
    <t>Nombre de Inspector 4</t>
  </si>
  <si>
    <t>Zona 42</t>
  </si>
  <si>
    <t>Declaración Jurada Inspector (Anexo 4) 4</t>
  </si>
  <si>
    <t>Experiencia Inspección de Siniestros
(Años) 4</t>
  </si>
  <si>
    <t>Experiencia Servicios de Desplazamiento 
(Años) 4</t>
  </si>
  <si>
    <t>Cédula de indentidad 4</t>
  </si>
  <si>
    <t>Licencia de conducir 4</t>
  </si>
  <si>
    <t>Título de escolaridad 4</t>
  </si>
  <si>
    <t>Titulo de Mecánica 4</t>
  </si>
  <si>
    <t>Titulo Servicio al Cliente 4</t>
  </si>
  <si>
    <t>Titulo Ofimatica 4</t>
  </si>
  <si>
    <t>Hoja de Delincuencia 4</t>
  </si>
  <si>
    <t>CCSS
(Planilla - Trabajador Independiente) 4</t>
  </si>
  <si>
    <t>Correo 4</t>
  </si>
  <si>
    <t>Teléfono 4</t>
  </si>
  <si>
    <t>Nombre de Inspector 5</t>
  </si>
  <si>
    <t>Zona 5</t>
  </si>
  <si>
    <t>Declaración Jurada Inspector (Anexo 4) 5</t>
  </si>
  <si>
    <t>Experiencia Inspección de Siniestros
(Años) 5</t>
  </si>
  <si>
    <t>Experiencia Servicios de Desplazamiento 
(Años) 5</t>
  </si>
  <si>
    <t>Cédula de indentidad 5</t>
  </si>
  <si>
    <t>Licencia de conducir 5</t>
  </si>
  <si>
    <t>Título de escolaridad 5</t>
  </si>
  <si>
    <t>Titulo de Mecánica 5</t>
  </si>
  <si>
    <t>Titulo Servicio al Cliente 5</t>
  </si>
  <si>
    <t>Titulo Ofimatica 5</t>
  </si>
  <si>
    <t>Hoja de Delincuencia 5</t>
  </si>
  <si>
    <t>CCSS
(Planilla - Trabajador Independiente) 5</t>
  </si>
  <si>
    <t>Correo 5</t>
  </si>
  <si>
    <t>Teléfono 5</t>
  </si>
  <si>
    <t>Nombre de Inspector 6</t>
  </si>
  <si>
    <t>Zona 6</t>
  </si>
  <si>
    <t xml:space="preserve">Declaración Jurada Inspector (Anexo 4) </t>
  </si>
  <si>
    <t xml:space="preserve">Experiencia Inspección de Siniestros
(Años) </t>
  </si>
  <si>
    <t xml:space="preserve">Experiencia Servicios de Desplazamiento 
(Años) </t>
  </si>
  <si>
    <t xml:space="preserve">Cédula de indentidad </t>
  </si>
  <si>
    <t xml:space="preserve">Licencia de conducir </t>
  </si>
  <si>
    <t xml:space="preserve">Título de escolaridad </t>
  </si>
  <si>
    <t>Titulo de Mecánica 6</t>
  </si>
  <si>
    <t>Titulo Servicio al Cliente 6</t>
  </si>
  <si>
    <t>Titulo Ofimatica 6</t>
  </si>
  <si>
    <t>Hoja de Delincuencia 6</t>
  </si>
  <si>
    <t>CCSS
(Planilla - Trabajador Independiente) 6</t>
  </si>
  <si>
    <t>Correo 6</t>
  </si>
  <si>
    <t>Teléfono 6</t>
  </si>
  <si>
    <t>Nombre de Inspector 7</t>
  </si>
  <si>
    <t>Zona 7</t>
  </si>
  <si>
    <t>Declaración Jurada Inspector (Anexo 4) 7</t>
  </si>
  <si>
    <t>Experiencia Inspección de Siniestros
(Años) 7</t>
  </si>
  <si>
    <t>Experiencia Servicios de Desplazamiento 
(Años) 7</t>
  </si>
  <si>
    <t>Cédula de indentidad 7</t>
  </si>
  <si>
    <t>Licencia de conducir 7</t>
  </si>
  <si>
    <t>Título de escolaridad 7</t>
  </si>
  <si>
    <t>Titulo de Mecánica 7</t>
  </si>
  <si>
    <t>Titulo Servicio al Cliente 7</t>
  </si>
  <si>
    <t>Titulo Ofimatica 7</t>
  </si>
  <si>
    <t>Hoja de Delincuencia 7</t>
  </si>
  <si>
    <t>CCSS
(Planilla - Trabajador Independiente) 7</t>
  </si>
  <si>
    <t>Correo 7</t>
  </si>
  <si>
    <t>Teléfono 7</t>
  </si>
  <si>
    <t>Nombre de Inspector 8</t>
  </si>
  <si>
    <t>Zona 8</t>
  </si>
  <si>
    <t>Declaración Jurada Inspector (Anexo 4) 8</t>
  </si>
  <si>
    <t>Experiencia Inspección de Siniestros
(Años) 8</t>
  </si>
  <si>
    <t>Experiencia Servicios de Desplazamiento 
(Años) 8</t>
  </si>
  <si>
    <t>Cédula de indentidad 8</t>
  </si>
  <si>
    <t>Licencia de conducir 8</t>
  </si>
  <si>
    <t>Título de escolaridad 8</t>
  </si>
  <si>
    <t>Titulo de Mecánica 8</t>
  </si>
  <si>
    <t>Titulo Servicio al Cliente 8</t>
  </si>
  <si>
    <t>Titulo Ofimatica 8</t>
  </si>
  <si>
    <t>Hoja de Delincuencia 8</t>
  </si>
  <si>
    <t>CCSS
(Planilla - Trabajador Independiente) 8</t>
  </si>
  <si>
    <t>Correo 8</t>
  </si>
  <si>
    <t>Teléfono 8</t>
  </si>
  <si>
    <t>Número de placa 1</t>
  </si>
  <si>
    <t xml:space="preserve">Tipo de Vehículo </t>
  </si>
  <si>
    <t>Año</t>
  </si>
  <si>
    <t xml:space="preserve">Marca </t>
  </si>
  <si>
    <t xml:space="preserve">Modelo </t>
  </si>
  <si>
    <t>Título de Propiedad</t>
  </si>
  <si>
    <t>Contrato de comodato  (Cuando el dueño registral es otra persona)</t>
  </si>
  <si>
    <t>Riteve</t>
  </si>
  <si>
    <t>Derecho de Circulación</t>
  </si>
  <si>
    <t>Fotografías (cuatro costados, VIN y odómetro)</t>
  </si>
  <si>
    <t>Número de placa 2</t>
  </si>
  <si>
    <t>Tipo de Vehículo 2</t>
  </si>
  <si>
    <t>Año 2</t>
  </si>
  <si>
    <t>Marca 2</t>
  </si>
  <si>
    <t>Modelo 2</t>
  </si>
  <si>
    <t>Título de Propiedad 2</t>
  </si>
  <si>
    <t>Contrato de comodato  (Cuando el dueño registral es otra persona) 2</t>
  </si>
  <si>
    <t>Riteve 2</t>
  </si>
  <si>
    <t>Derecho de Circulación 2</t>
  </si>
  <si>
    <t>Fotografías 2</t>
  </si>
  <si>
    <t>Número de placa 3</t>
  </si>
  <si>
    <t>Tipo de Vehículo 3</t>
  </si>
  <si>
    <t>Año 3</t>
  </si>
  <si>
    <t>Marca 3</t>
  </si>
  <si>
    <t>Modelo 3</t>
  </si>
  <si>
    <t>Título de Propiedad 3</t>
  </si>
  <si>
    <t>Contrato de comodato  (Cuando el dueño registral es otra persona) 3</t>
  </si>
  <si>
    <t>Riteve 3</t>
  </si>
  <si>
    <t>Derecho de Circulación 3</t>
  </si>
  <si>
    <t>Fotografías 3</t>
  </si>
  <si>
    <t>Número de placa 4</t>
  </si>
  <si>
    <t>Tipo de Vehículo 4</t>
  </si>
  <si>
    <t>Año 4</t>
  </si>
  <si>
    <t>Marca 4</t>
  </si>
  <si>
    <t>Modelo 4</t>
  </si>
  <si>
    <t>Título de Propiedad 4</t>
  </si>
  <si>
    <t>Contrato de comodato  (Cuando el dueño registral es otra persona) 4</t>
  </si>
  <si>
    <t>Riteve 4</t>
  </si>
  <si>
    <t>Derecho de Circulación 4</t>
  </si>
  <si>
    <t>Fotografías 4</t>
  </si>
  <si>
    <t>Número de placa 5</t>
  </si>
  <si>
    <t>Tipo de Vehículo 5</t>
  </si>
  <si>
    <t>Año 5</t>
  </si>
  <si>
    <t>Marca 5</t>
  </si>
  <si>
    <t>Modelo 5</t>
  </si>
  <si>
    <t>Título de Propiedad 5</t>
  </si>
  <si>
    <t>Contrato de comodato  (Cuando el dueño registral es otra persona) 5</t>
  </si>
  <si>
    <t>Riteve 5</t>
  </si>
  <si>
    <t>Derecho de Circulación 5</t>
  </si>
  <si>
    <t>Fotografías 5</t>
  </si>
  <si>
    <t>Número de placa 6</t>
  </si>
  <si>
    <t>Tipo de Vehículo</t>
  </si>
  <si>
    <t xml:space="preserve">Año </t>
  </si>
  <si>
    <t>Marca</t>
  </si>
  <si>
    <t>Modelo</t>
  </si>
  <si>
    <t xml:space="preserve">Título de Propiedad </t>
  </si>
  <si>
    <t>Contrato de comodato  (Cuando el dueño registral es otra persona) 58</t>
  </si>
  <si>
    <t xml:space="preserve">Riteve </t>
  </si>
  <si>
    <t xml:space="preserve">Derecho de Circulación </t>
  </si>
  <si>
    <t xml:space="preserve">Fotografías </t>
  </si>
  <si>
    <t>Número de placa 7</t>
  </si>
  <si>
    <t>Tipo de Vehículo2</t>
  </si>
  <si>
    <t>Año2</t>
  </si>
  <si>
    <t>Marca2</t>
  </si>
  <si>
    <t>Modelo2</t>
  </si>
  <si>
    <t>Título de Propiedad2</t>
  </si>
  <si>
    <t xml:space="preserve">Contrato de comodato  (Cuando el dueño registral es otra persona) </t>
  </si>
  <si>
    <t>Riteve 6</t>
  </si>
  <si>
    <t>Derecho de Circulación2</t>
  </si>
  <si>
    <t>Fotografías</t>
  </si>
  <si>
    <t>Número de placa 8</t>
  </si>
  <si>
    <t>Tipo de Vehículo8</t>
  </si>
  <si>
    <t>Año8</t>
  </si>
  <si>
    <t>Marca8</t>
  </si>
  <si>
    <t>Modelo8</t>
  </si>
  <si>
    <t>Título de Propiedad8</t>
  </si>
  <si>
    <t>Contrato de comodato  (Cuando el dueño registral es otra persona) 8</t>
  </si>
  <si>
    <t>Riteve 8</t>
  </si>
  <si>
    <t>Derecho de Circulación8</t>
  </si>
  <si>
    <t>Fotografías8</t>
  </si>
  <si>
    <t>Promedio Antigüedad</t>
  </si>
  <si>
    <t>Luis Antonio Zeledón Prendas</t>
  </si>
  <si>
    <t>N/A</t>
  </si>
  <si>
    <t>Fisica</t>
  </si>
  <si>
    <t>1-0817-0838</t>
  </si>
  <si>
    <t>Cartago, Alvarado, Capellades</t>
  </si>
  <si>
    <t xml:space="preserve">3-01 Cartago </t>
  </si>
  <si>
    <t>3-02 Turrialba</t>
  </si>
  <si>
    <t xml:space="preserve">Banco Nacional </t>
  </si>
  <si>
    <t>200-01-055-016053-6</t>
  </si>
  <si>
    <t>CR59 0151 0552 0010 1605 38</t>
  </si>
  <si>
    <t>8819-8767</t>
  </si>
  <si>
    <t>luiz.zp@hotmail.com</t>
  </si>
  <si>
    <t>Cumple</t>
  </si>
  <si>
    <t xml:space="preserve">Al dia </t>
  </si>
  <si>
    <t>Al dia</t>
  </si>
  <si>
    <t xml:space="preserve">Cumple </t>
  </si>
  <si>
    <t>LUIS ZELEDON PRENDAS</t>
  </si>
  <si>
    <t>3-02 TURRIALBA</t>
  </si>
  <si>
    <t>BACHILLER</t>
  </si>
  <si>
    <t>NO</t>
  </si>
  <si>
    <t>INDEPENDIENTE</t>
  </si>
  <si>
    <t>DINIER ARAYA ROMERO</t>
  </si>
  <si>
    <t>3-01 CARTAGO</t>
  </si>
  <si>
    <t>SEXTO</t>
  </si>
  <si>
    <t>dinierinspector@gmail.com</t>
  </si>
  <si>
    <t>LEONARDO VARGAS SERRANO</t>
  </si>
  <si>
    <t>leonardovargass30@outlook.com</t>
  </si>
  <si>
    <t>BGT498</t>
  </si>
  <si>
    <t>AUTOMOVIL</t>
  </si>
  <si>
    <t>KIA</t>
  </si>
  <si>
    <t>RIO</t>
  </si>
  <si>
    <t>SI</t>
  </si>
  <si>
    <t>MOT699559</t>
  </si>
  <si>
    <t>MOTOCICLETA</t>
  </si>
  <si>
    <t>FREEDOM</t>
  </si>
  <si>
    <t>THUNDER</t>
  </si>
  <si>
    <t>MOT755917</t>
  </si>
  <si>
    <t>SERPENTO</t>
  </si>
  <si>
    <t>VIPER 250</t>
  </si>
  <si>
    <t>Pablo Araya Romero</t>
  </si>
  <si>
    <t>3-0506-0253</t>
  </si>
  <si>
    <t xml:space="preserve">San José, Desamparados </t>
  </si>
  <si>
    <t xml:space="preserve">1-09 Los Santos </t>
  </si>
  <si>
    <t>Banco Nacional</t>
  </si>
  <si>
    <t>200-01-088-015336-6</t>
  </si>
  <si>
    <t>CR98015108820010153366</t>
  </si>
  <si>
    <t>8609-0039</t>
  </si>
  <si>
    <t>arayapablo97@gmail.com</t>
  </si>
  <si>
    <t>Moroso</t>
  </si>
  <si>
    <t>PABLO ARAYA ROMERO</t>
  </si>
  <si>
    <t>1-09 LOS SANTOS</t>
  </si>
  <si>
    <t>MOT681524</t>
  </si>
  <si>
    <t>YAMAHA</t>
  </si>
  <si>
    <t>FNZ250</t>
  </si>
  <si>
    <t xml:space="preserve">Melvin Vargas Sandí </t>
  </si>
  <si>
    <t>1-1578-0115</t>
  </si>
  <si>
    <t>San Jose, Mora, Ciudad Colon</t>
  </si>
  <si>
    <t xml:space="preserve">1-03 Desamparados </t>
  </si>
  <si>
    <t>1-05 Pavas</t>
  </si>
  <si>
    <t xml:space="preserve">1-06 Puriscal </t>
  </si>
  <si>
    <t>200-01-087-018865-0</t>
  </si>
  <si>
    <t>CR94 0151 0872 0010 1886 54</t>
  </si>
  <si>
    <t>Melvin Eduardo Vargas Sandi</t>
  </si>
  <si>
    <t>edu_vargas08@hotmail.com</t>
  </si>
  <si>
    <t>GABRIEL POVEDA SANCHEZ</t>
  </si>
  <si>
    <t>1-03 DESAMPARADOS</t>
  </si>
  <si>
    <t>4 MESES</t>
  </si>
  <si>
    <t>lel_14@hotmail.com</t>
  </si>
  <si>
    <t>ANTHONY DURAN ACOSTA</t>
  </si>
  <si>
    <t>a.duran1986@gmail.com</t>
  </si>
  <si>
    <t>JOAQUIN POVEDA SANCHEZ</t>
  </si>
  <si>
    <t>1-05 PAVAS</t>
  </si>
  <si>
    <t>poveda1894@gmail.com</t>
  </si>
  <si>
    <t>KENNETH ZAPATA VASQUEZ</t>
  </si>
  <si>
    <t>kzapata117@gmail.com</t>
  </si>
  <si>
    <t>LUIS MADRIGAL LOPEZ</t>
  </si>
  <si>
    <t>gox18@hotmail.com</t>
  </si>
  <si>
    <t>MARCO RAMIREZ SEGURA</t>
  </si>
  <si>
    <t>ZONA 1-05 PAVAS</t>
  </si>
  <si>
    <t>jrsegura10@hotmail.com</t>
  </si>
  <si>
    <t>MELVIN VARGAS SANDI</t>
  </si>
  <si>
    <t>1-06 PURISCAL</t>
  </si>
  <si>
    <t>MOT721222</t>
  </si>
  <si>
    <t>FORMULA</t>
  </si>
  <si>
    <t>CYCLONE</t>
  </si>
  <si>
    <t>MOT524619</t>
  </si>
  <si>
    <t>BAJAJ</t>
  </si>
  <si>
    <t>PULSAR 200NS</t>
  </si>
  <si>
    <t>MOT709712</t>
  </si>
  <si>
    <t>KTM</t>
  </si>
  <si>
    <t>200 DUKE</t>
  </si>
  <si>
    <t>MOT652601</t>
  </si>
  <si>
    <t>MOT490289</t>
  </si>
  <si>
    <t>MOT682461</t>
  </si>
  <si>
    <t>NANO 200</t>
  </si>
  <si>
    <t>MOT-770170</t>
  </si>
  <si>
    <t>HUSQVARNA</t>
  </si>
  <si>
    <t>SVARTPILEN 250</t>
  </si>
  <si>
    <t xml:space="preserve">José Gerardo Cortes Araya </t>
  </si>
  <si>
    <t>CONSORCIO SERVICIO LA PAMPA</t>
  </si>
  <si>
    <t>6-0348-0324</t>
  </si>
  <si>
    <t>Guanacaste Nicoya</t>
  </si>
  <si>
    <t xml:space="preserve">5-02 Nicoya </t>
  </si>
  <si>
    <t>5-04 Santa Cruz</t>
  </si>
  <si>
    <t>5-01 Liberia</t>
  </si>
  <si>
    <t>200-01-151-015429-7</t>
  </si>
  <si>
    <t>CR387015202001322910945</t>
  </si>
  <si>
    <t>servicioslapanpa@gmail.com</t>
  </si>
  <si>
    <t>LUIS ALONSO CASTRO SOLORZANO</t>
  </si>
  <si>
    <t>5-02 NICOYA</t>
  </si>
  <si>
    <t>6 MESES</t>
  </si>
  <si>
    <t>castroalonso625@gmail.com</t>
  </si>
  <si>
    <t>GERARDO CORTES ARAYA</t>
  </si>
  <si>
    <t>5-04 SANTA CRUZ</t>
  </si>
  <si>
    <t>LUIS OBANDO GONZALEZ</t>
  </si>
  <si>
    <t>5-01 LIBERIA</t>
  </si>
  <si>
    <t>MARIO ROJAS RODRIGUEZ</t>
  </si>
  <si>
    <t>mario.rojas196548@gmail.com</t>
  </si>
  <si>
    <t>MOT-533075</t>
  </si>
  <si>
    <t>KEEWAY</t>
  </si>
  <si>
    <t>RK150</t>
  </si>
  <si>
    <t>MOT749554</t>
  </si>
  <si>
    <t>HAOJUE</t>
  </si>
  <si>
    <t>TZ 150 PRO</t>
  </si>
  <si>
    <t>MOT787918</t>
  </si>
  <si>
    <t>ZS250 GY</t>
  </si>
  <si>
    <t>MOT501387</t>
  </si>
  <si>
    <t>ZS 250GY-6</t>
  </si>
  <si>
    <t xml:space="preserve">Marcela Arias Salas </t>
  </si>
  <si>
    <t>2-0543-0987</t>
  </si>
  <si>
    <t xml:space="preserve">Alajuela, Grecia </t>
  </si>
  <si>
    <t xml:space="preserve">2-05 San Ramón </t>
  </si>
  <si>
    <t>2-04 Grecia</t>
  </si>
  <si>
    <t>2-02 Atenas</t>
  </si>
  <si>
    <t>200-01-156-005061-1</t>
  </si>
  <si>
    <t>CR70015115620010050613</t>
  </si>
  <si>
    <t>Marcela Arias Salas</t>
  </si>
  <si>
    <t>mararisal@hotmail.com</t>
  </si>
  <si>
    <t>Al día</t>
  </si>
  <si>
    <t>ERICK LEONEL ROBLERO CAMPOS</t>
  </si>
  <si>
    <t>2-02 ATENAS</t>
  </si>
  <si>
    <t>erickr0420@gmail.com</t>
  </si>
  <si>
    <t>MARCELA ARIAS SALAS</t>
  </si>
  <si>
    <t>2-04 GRECIA</t>
  </si>
  <si>
    <t>87253183 / 72930209 / 24947832</t>
  </si>
  <si>
    <t>ALEJANDRO ROJAS ALFARO</t>
  </si>
  <si>
    <t>20-04 GRECIA</t>
  </si>
  <si>
    <t>UNIVERSIDAD</t>
  </si>
  <si>
    <t>alerojasal10@gmail.com</t>
  </si>
  <si>
    <t>JONATHAN MENA ALFARO</t>
  </si>
  <si>
    <t>2-05 SAN RAMÓN</t>
  </si>
  <si>
    <t>jtgma@hotmail.com</t>
  </si>
  <si>
    <t>MOT726603</t>
  </si>
  <si>
    <t>TAYPAN 200</t>
  </si>
  <si>
    <t>BJP841</t>
  </si>
  <si>
    <t>VEHICULO</t>
  </si>
  <si>
    <t>DAIHATSUN</t>
  </si>
  <si>
    <t>TERIOS</t>
  </si>
  <si>
    <t>MOT658651</t>
  </si>
  <si>
    <t>MIN320A</t>
  </si>
  <si>
    <t>Edmundo Pacheco Ramírez</t>
  </si>
  <si>
    <t>1-1189-0909</t>
  </si>
  <si>
    <t>San José, Tibás, San Juan</t>
  </si>
  <si>
    <t xml:space="preserve">1-04 Guadalupe </t>
  </si>
  <si>
    <t xml:space="preserve">1-07 Tibás </t>
  </si>
  <si>
    <t>200-01-208-081285-2</t>
  </si>
  <si>
    <t>CR50015114820010182351</t>
  </si>
  <si>
    <t>84982026
22365707</t>
  </si>
  <si>
    <t>epacheco07@hotmail.com</t>
  </si>
  <si>
    <t>GERARDO SABORIO MORA</t>
  </si>
  <si>
    <t>1-07 TIBAS</t>
  </si>
  <si>
    <t>8 AÑOS</t>
  </si>
  <si>
    <t>gerardosaborio@hotmail.com</t>
  </si>
  <si>
    <t>62354545/22369696</t>
  </si>
  <si>
    <t>BRYAN VARGAS ULLOA</t>
  </si>
  <si>
    <t>7 AÑOS</t>
  </si>
  <si>
    <t>chuzvu@hotmail.com</t>
  </si>
  <si>
    <t>EDMUNDO PACHECO RAMIREZ</t>
  </si>
  <si>
    <t>1-04 GUADALUPE</t>
  </si>
  <si>
    <t>10 AÑOS</t>
  </si>
  <si>
    <t>ANTHONY CARMONA ALVARADO</t>
  </si>
  <si>
    <t>1 MES</t>
  </si>
  <si>
    <t>2 MESE</t>
  </si>
  <si>
    <t>acarmona8086@gmail.com</t>
  </si>
  <si>
    <t>33AGV88</t>
  </si>
  <si>
    <t>ZS 250 GY7</t>
  </si>
  <si>
    <t>MOT658450</t>
  </si>
  <si>
    <t>SZ 250 GY6</t>
  </si>
  <si>
    <t>MOT586752</t>
  </si>
  <si>
    <t>690 DUKE</t>
  </si>
  <si>
    <t>MOT512695</t>
  </si>
  <si>
    <t>MOT770229</t>
  </si>
  <si>
    <t>PULSAR 160</t>
  </si>
  <si>
    <t xml:space="preserve">Edwin Alberto Calderón Chaves </t>
  </si>
  <si>
    <t xml:space="preserve">Consorcio Calderón Barquero </t>
  </si>
  <si>
    <t>1-0920-0702</t>
  </si>
  <si>
    <t>Heredia Mercedes Norte, 50mts Sur de la UNED</t>
  </si>
  <si>
    <t>n/A</t>
  </si>
  <si>
    <t xml:space="preserve">4-01 Belén </t>
  </si>
  <si>
    <t>Heredia</t>
  </si>
  <si>
    <t>200-01-032-030876-3</t>
  </si>
  <si>
    <t>CR38 0151 0322 0010 3087 62</t>
  </si>
  <si>
    <t>8899-9713 
6168-2220</t>
  </si>
  <si>
    <t>albertocch@gmail.com</t>
  </si>
  <si>
    <t>ALBERTO CALDERON CHAVES</t>
  </si>
  <si>
    <t>4-01 BELÉN</t>
  </si>
  <si>
    <t>9 AÑOS</t>
  </si>
  <si>
    <t>JUAN GUILLERMO BARQUERO ORTIZ</t>
  </si>
  <si>
    <t xml:space="preserve">4-01 BELEN </t>
  </si>
  <si>
    <t>NO SUBSANA</t>
  </si>
  <si>
    <t>guillermo.barquero@outlook.com</t>
  </si>
  <si>
    <t>MOT586256</t>
  </si>
  <si>
    <t>FZN150D</t>
  </si>
  <si>
    <t>NO LO SUBSANA</t>
  </si>
  <si>
    <t>MOT467278</t>
  </si>
  <si>
    <t>DISCOVER 150S</t>
  </si>
  <si>
    <t xml:space="preserve">Jorge Alberto Rodríguez Villalobos </t>
  </si>
  <si>
    <t>2-0599-0380</t>
  </si>
  <si>
    <t xml:space="preserve">Puntarenas, Paquera </t>
  </si>
  <si>
    <t xml:space="preserve">5-06 PENÍNSULA </t>
  </si>
  <si>
    <t>200-01-191-003978-0</t>
  </si>
  <si>
    <t>CR15 0151 1912 0010 0397 88</t>
  </si>
  <si>
    <t>patojrv7@hotmail.com</t>
  </si>
  <si>
    <t xml:space="preserve">No cumple </t>
  </si>
  <si>
    <t>JORGE RODRIGUEZ VILLALOBOS</t>
  </si>
  <si>
    <t>5-06 PENINSULA</t>
  </si>
  <si>
    <t>NOVENO</t>
  </si>
  <si>
    <t>7113 0021, 85342059</t>
  </si>
  <si>
    <t>CL210471</t>
  </si>
  <si>
    <t>TOYOTA</t>
  </si>
  <si>
    <t>HILUX</t>
  </si>
  <si>
    <t xml:space="preserve">SI </t>
  </si>
  <si>
    <t xml:space="preserve">Luis Andriani Orozco Rodríguez </t>
  </si>
  <si>
    <t>6-0356-0227</t>
  </si>
  <si>
    <t xml:space="preserve">Heredia, Santa Barbara </t>
  </si>
  <si>
    <t xml:space="preserve">2-01 Alajuela </t>
  </si>
  <si>
    <t xml:space="preserve">4-01 Belen </t>
  </si>
  <si>
    <t>4-02 Heredia</t>
  </si>
  <si>
    <t>200-01-000-804574-7</t>
  </si>
  <si>
    <t>CR54015100020018045742</t>
  </si>
  <si>
    <t xml:space="preserve">kekoluioro@gmail.com </t>
  </si>
  <si>
    <t>CRISTIAN OROZCO RODRIGUEZ</t>
  </si>
  <si>
    <t>2-01 ALAJUELA</t>
  </si>
  <si>
    <t>6,7 AÑOS</t>
  </si>
  <si>
    <t>Camote1412@gmail.com,</t>
  </si>
  <si>
    <t>JORDAN GONZALEZ ALVARADO</t>
  </si>
  <si>
    <t>5,9 AÑOS</t>
  </si>
  <si>
    <t>jordan.gonzaleznewprofile2@outlook.com</t>
  </si>
  <si>
    <t>KEYLOR UGALDE DÁVILA</t>
  </si>
  <si>
    <t>4.6 AÑOS</t>
  </si>
  <si>
    <t>keyugal159@gmail.com</t>
  </si>
  <si>
    <t xml:space="preserve">LUIS OROZCO RODRIGUEZ </t>
  </si>
  <si>
    <t>kekoluioro@gmail.com</t>
  </si>
  <si>
    <t>JEFRY ROJAS OVIEDO</t>
  </si>
  <si>
    <t>PLANILLA</t>
  </si>
  <si>
    <t>jeffreyrojas69@gmail.com</t>
  </si>
  <si>
    <t>JAYSON OBREDO ARROYO</t>
  </si>
  <si>
    <t>3,4 AÑOS</t>
  </si>
  <si>
    <t>jayarroyo68@gmail.com</t>
  </si>
  <si>
    <t>MAYKEL RODRIGUEZ LOPEZ</t>
  </si>
  <si>
    <t>0.4 AÑOS</t>
  </si>
  <si>
    <t>maikelrodriguez1993@gmail.com</t>
  </si>
  <si>
    <t>RANDALL VARGAS RODRIGUEZ</t>
  </si>
  <si>
    <t>0,8 AÑOS</t>
  </si>
  <si>
    <t>randallarias60@gmail.com</t>
  </si>
  <si>
    <t>MOT464499</t>
  </si>
  <si>
    <t>HONDA</t>
  </si>
  <si>
    <t>XF150</t>
  </si>
  <si>
    <t>MOT522312</t>
  </si>
  <si>
    <t>SUZUKI</t>
  </si>
  <si>
    <t>GIXXER</t>
  </si>
  <si>
    <t>MOT568853</t>
  </si>
  <si>
    <t>CB 190R</t>
  </si>
  <si>
    <t>MOT417162</t>
  </si>
  <si>
    <t>PULSAR 200 NS</t>
  </si>
  <si>
    <t>137AGV1</t>
  </si>
  <si>
    <t>DOMINAR D</t>
  </si>
  <si>
    <t>REVISAR SUBSANE</t>
  </si>
  <si>
    <t>MOT546422</t>
  </si>
  <si>
    <t>MOT725731</t>
  </si>
  <si>
    <t>CFMOTO</t>
  </si>
  <si>
    <t>400NK</t>
  </si>
  <si>
    <t>MOT674851</t>
  </si>
  <si>
    <t>Carlos Sanders Ávila</t>
  </si>
  <si>
    <t>1-0903-0926</t>
  </si>
  <si>
    <t xml:space="preserve">Limón, Pococí </t>
  </si>
  <si>
    <t xml:space="preserve">7-01 Limón </t>
  </si>
  <si>
    <t>7-02 Guapiles</t>
  </si>
  <si>
    <t xml:space="preserve">BAC </t>
  </si>
  <si>
    <t>CR24010200009211861364</t>
  </si>
  <si>
    <t>8935-3266</t>
  </si>
  <si>
    <t>sanders-66@hotmail.com</t>
  </si>
  <si>
    <t>Oscar Gutiérrez Martínez: Presenta una carta de ASOTRAMA 
Giovanni Salazar Alvarado: Presenta una carta de ASOTRAMA 
Wilson Gerardo Porras Rojas: Presenta una carta de ASOTRAMA</t>
  </si>
  <si>
    <t>Luis Ordoñez Espinoza: TRAVI
Oscar Gutiérrez Martínez: TRAVI
Giovanni Salazar Alvarado: TRAVI</t>
  </si>
  <si>
    <t>LUIS ORDOÑEZ ESPINOZA</t>
  </si>
  <si>
    <t>7-01 LIMON</t>
  </si>
  <si>
    <t>5 AÑOS</t>
  </si>
  <si>
    <t>luisguillermo9009@gmail.com</t>
  </si>
  <si>
    <t>OSCAR GUTIERREZ MARTINEZ</t>
  </si>
  <si>
    <t>15 AÑOS</t>
  </si>
  <si>
    <t>derrick-05@hotmail.com</t>
  </si>
  <si>
    <t>GEOVANNY SALAZAR ALVARADO</t>
  </si>
  <si>
    <t>7-02  GUAPILES</t>
  </si>
  <si>
    <t>11 AÑOS</t>
  </si>
  <si>
    <t>cumple</t>
  </si>
  <si>
    <t>gsalazar.delta@gmail.com</t>
  </si>
  <si>
    <t>RAZIEL JESUS AGUILAR ARAYA</t>
  </si>
  <si>
    <t>7-02 GUAPILES</t>
  </si>
  <si>
    <t>raziel506@proton.me</t>
  </si>
  <si>
    <t>WILSON PORRAS ROJAS</t>
  </si>
  <si>
    <t>wilson171190@gmail.com</t>
  </si>
  <si>
    <t>MOT789374</t>
  </si>
  <si>
    <t>GN 125</t>
  </si>
  <si>
    <t>MOT723839</t>
  </si>
  <si>
    <t>25O NK</t>
  </si>
  <si>
    <t>MOT455074</t>
  </si>
  <si>
    <t>CTX200</t>
  </si>
  <si>
    <t>MOT738511</t>
  </si>
  <si>
    <t>DUKE 200</t>
  </si>
  <si>
    <t>MOT738541</t>
  </si>
  <si>
    <t>GN150</t>
  </si>
  <si>
    <t>Alana Melinda Méndez Cerdas</t>
  </si>
  <si>
    <t xml:space="preserve">3-0418-0340 </t>
  </si>
  <si>
    <t xml:space="preserve">Puntarenas, Parrita </t>
  </si>
  <si>
    <t>6-01 Parrita</t>
  </si>
  <si>
    <t>200-01-079-016285-4</t>
  </si>
  <si>
    <t>CR69 0151 0792 0010 1628 57</t>
  </si>
  <si>
    <t>8764-2299</t>
  </si>
  <si>
    <t>alanamendezcerdas@hotmail.com</t>
  </si>
  <si>
    <t>ALANA MENDEZ CERDAS</t>
  </si>
  <si>
    <t>6-01 PARRITA</t>
  </si>
  <si>
    <t>2 AÑOS</t>
  </si>
  <si>
    <t>4 AÑOS</t>
  </si>
  <si>
    <t>DANIEL ARIAS VARGAS</t>
  </si>
  <si>
    <t>darias2786@gmail.com</t>
  </si>
  <si>
    <t>BTX760</t>
  </si>
  <si>
    <t>HYUNDAI</t>
  </si>
  <si>
    <t>CRETA</t>
  </si>
  <si>
    <t>BDN352</t>
  </si>
  <si>
    <t>CIVIC</t>
  </si>
  <si>
    <t>Alexander Miguel Molina Navarro</t>
  </si>
  <si>
    <t>6-0248-0915</t>
  </si>
  <si>
    <t>Ciudad Neilly, Villa Maria</t>
  </si>
  <si>
    <t xml:space="preserve">6-03 Ciudad Neilly </t>
  </si>
  <si>
    <t>8839-6671</t>
  </si>
  <si>
    <t>alexandermolina77@gmail.com</t>
  </si>
  <si>
    <t>ALEXANDER MOLINA NAVARRO</t>
  </si>
  <si>
    <t>6-03 CIUDAD NEILY</t>
  </si>
  <si>
    <t>23 AÑOS</t>
  </si>
  <si>
    <t>NO LO PRESENTA</t>
  </si>
  <si>
    <t>MOT349032</t>
  </si>
  <si>
    <t>UNITED MOTORS</t>
  </si>
  <si>
    <t>DRS200</t>
  </si>
  <si>
    <t>Alexander Yubel Umaña Mayorga</t>
  </si>
  <si>
    <t>1-0933-0826</t>
  </si>
  <si>
    <t>Alajuela, Upala</t>
  </si>
  <si>
    <t>5-03 Cañas</t>
  </si>
  <si>
    <t>5-05 Upala</t>
  </si>
  <si>
    <t>200-01-089-009254-0</t>
  </si>
  <si>
    <t>CR17 0151 0892 0010 0926 42</t>
  </si>
  <si>
    <t>8808-9103
6056-5602</t>
  </si>
  <si>
    <t>juvelmayorga@gmail.com</t>
  </si>
  <si>
    <t xml:space="preserve">Al día </t>
  </si>
  <si>
    <t>ALEXANDER UMAÑA MAYORGA</t>
  </si>
  <si>
    <t>5-05 UPALA</t>
  </si>
  <si>
    <t>20 AÑOS</t>
  </si>
  <si>
    <t>88089103// 60565602</t>
  </si>
  <si>
    <t>KENNETH GONZALEZ ZAMORA</t>
  </si>
  <si>
    <t>5-03 CAÑAS</t>
  </si>
  <si>
    <t>kgonzalezzamora@gmail.com</t>
  </si>
  <si>
    <t>8313-3798 
8605-0823</t>
  </si>
  <si>
    <t>Henry Gómez Montero</t>
  </si>
  <si>
    <t xml:space="preserve">5-01 LIBERIA </t>
  </si>
  <si>
    <t>SUBSANAR</t>
  </si>
  <si>
    <t>hgomezmontero@gmail.com</t>
  </si>
  <si>
    <t xml:space="preserve">Henry Gómez Corea </t>
  </si>
  <si>
    <t>gomezcoreah@gmail.com</t>
  </si>
  <si>
    <t>MOT694636</t>
  </si>
  <si>
    <t>ZS200 51</t>
  </si>
  <si>
    <t>BTM190</t>
  </si>
  <si>
    <t>ALTO DX</t>
  </si>
  <si>
    <t>MOT707527</t>
  </si>
  <si>
    <t>KPT 200</t>
  </si>
  <si>
    <t>BBL936</t>
  </si>
  <si>
    <t>CHEVROLET</t>
  </si>
  <si>
    <t>AVEO</t>
  </si>
  <si>
    <t>BNY934</t>
  </si>
  <si>
    <t>ACCENT</t>
  </si>
  <si>
    <t>CUMPLE</t>
  </si>
  <si>
    <t>BFT949</t>
  </si>
  <si>
    <t>BEAT</t>
  </si>
  <si>
    <t xml:space="preserve">Leda María Chacón González </t>
  </si>
  <si>
    <t>1-1309-0304</t>
  </si>
  <si>
    <t xml:space="preserve">San José, Perez Zeledón </t>
  </si>
  <si>
    <t xml:space="preserve">1-08 Perez Zeledón </t>
  </si>
  <si>
    <t>200-01-010-116424-1</t>
  </si>
  <si>
    <t>CR69 0151 0102 0011 1642 42</t>
  </si>
  <si>
    <t>62927630 
87502125</t>
  </si>
  <si>
    <t>ledainspectora@gmail.com</t>
  </si>
  <si>
    <t>JOSE FRANCISCO TENORIO INFANTE</t>
  </si>
  <si>
    <t>1-08 PEREZ ZELEDON</t>
  </si>
  <si>
    <t>3 MESES</t>
  </si>
  <si>
    <t>joseinspector@gmail.com</t>
  </si>
  <si>
    <t>LEDA CHACON GONZALES</t>
  </si>
  <si>
    <t>6 AÑOS</t>
  </si>
  <si>
    <t>MOT725139</t>
  </si>
  <si>
    <t>YARA</t>
  </si>
  <si>
    <t>BJY575</t>
  </si>
  <si>
    <t>CRV</t>
  </si>
  <si>
    <t xml:space="preserve">Gerardo Fuentes Chavarría </t>
  </si>
  <si>
    <t>3-0311-0223</t>
  </si>
  <si>
    <t>San José, Curridabat, Granadilla Nort</t>
  </si>
  <si>
    <t xml:space="preserve">1-02 San Pedro </t>
  </si>
  <si>
    <t>200-01-147-008716-8</t>
  </si>
  <si>
    <t>CR09015114720010087161</t>
  </si>
  <si>
    <t>Gerardo Fuentes Chavarría</t>
  </si>
  <si>
    <t>7192-4676 
8738-3925</t>
  </si>
  <si>
    <t>geraf58@gmail.com</t>
  </si>
  <si>
    <t>GERARDO FUENTES CHAVARRIA</t>
  </si>
  <si>
    <t>1-02 SAN PEDRO</t>
  </si>
  <si>
    <t>12 AÑOS</t>
  </si>
  <si>
    <t>IGNACIO ALEJANDRO DIAZ VALERIO</t>
  </si>
  <si>
    <t>SUBSANAR, ADJUNTA CARTA DE COMPROMISO</t>
  </si>
  <si>
    <t>nachodiaz1979@hotmail.com</t>
  </si>
  <si>
    <t>MAURICIO CALVO CALVO</t>
  </si>
  <si>
    <t>f65inspector@gmail.com</t>
  </si>
  <si>
    <t>MICHAEL MONTERO MONTERO</t>
  </si>
  <si>
    <t>1-02 SAN PERDRO</t>
  </si>
  <si>
    <t>monteromaikol24@gmail.com</t>
  </si>
  <si>
    <t>MOT466609</t>
  </si>
  <si>
    <t>PULSAR 200</t>
  </si>
  <si>
    <t>MOT523454</t>
  </si>
  <si>
    <t>UNICORN</t>
  </si>
  <si>
    <t>MOT649057</t>
  </si>
  <si>
    <t>ZS150</t>
  </si>
  <si>
    <t>MOT395928</t>
  </si>
  <si>
    <t>Carmen Lidia Anchía Cerdas</t>
  </si>
  <si>
    <t>2-0591-0997</t>
  </si>
  <si>
    <t xml:space="preserve">Alajuela, San Carlos </t>
  </si>
  <si>
    <t xml:space="preserve">2-03 Ciudad Quesada </t>
  </si>
  <si>
    <t>200-01-012-070364-1</t>
  </si>
  <si>
    <t>CR87 0151 0122 0010 7036 43</t>
  </si>
  <si>
    <t>e.carmen.e@gmail.com</t>
  </si>
  <si>
    <t xml:space="preserve">Carta de Compromiso </t>
  </si>
  <si>
    <t>ERICK HERNANDEZ GOMEZ</t>
  </si>
  <si>
    <t>2-03 CIUDAD QUESADA</t>
  </si>
  <si>
    <t>22 AÑOS</t>
  </si>
  <si>
    <t>ehernandez04@gmail.com</t>
  </si>
  <si>
    <t>MINOR ANCHIA CERDAS</t>
  </si>
  <si>
    <t>mainoranchia@gmail.com</t>
  </si>
  <si>
    <t>BJS707</t>
  </si>
  <si>
    <t>VERNA</t>
  </si>
  <si>
    <t>YARIS</t>
  </si>
  <si>
    <t>MOT800073</t>
  </si>
  <si>
    <t>VIPER</t>
  </si>
  <si>
    <t xml:space="preserve">Gustavo Alonso Segura Arias </t>
  </si>
  <si>
    <t>6-0341-0083</t>
  </si>
  <si>
    <t xml:space="preserve">Puntarenas, Barranca </t>
  </si>
  <si>
    <t xml:space="preserve">6-02 Puntarenas </t>
  </si>
  <si>
    <t>200-01-131-022240-4</t>
  </si>
  <si>
    <t>CR55015113120010122400</t>
  </si>
  <si>
    <t>Gustavo Alonso Segura Arias</t>
  </si>
  <si>
    <t>8301-2751</t>
  </si>
  <si>
    <t>gustavoseguraarias@yahoo.com</t>
  </si>
  <si>
    <t>GUSTAVO SEGURA ARIAS</t>
  </si>
  <si>
    <t>6-02 PUNTARENAS</t>
  </si>
  <si>
    <t>JOAN LOPEZ ZUÑIGA</t>
  </si>
  <si>
    <t>j.ande@hotmail.com</t>
  </si>
  <si>
    <t>MOT799510</t>
  </si>
  <si>
    <t>ADVENTURE 250</t>
  </si>
  <si>
    <t>MOT681905</t>
  </si>
  <si>
    <t xml:space="preserve">200 DUKE </t>
  </si>
  <si>
    <t xml:space="preserve">ILEGIBLE LA FECHA </t>
  </si>
  <si>
    <t xml:space="preserve">Luis Felipe Cerdas Salazar </t>
  </si>
  <si>
    <t>1-1216-0100</t>
  </si>
  <si>
    <t>Cartago, La Unión, San Diego, Santiago del monte, de la iglesia católica 100 S 25 NE</t>
  </si>
  <si>
    <t xml:space="preserve">1-01 La Merced </t>
  </si>
  <si>
    <t>200-01-134-020050-7</t>
  </si>
  <si>
    <t>CR69015113420010200509</t>
  </si>
  <si>
    <t>Luis Felipe Cerdas Salazar</t>
  </si>
  <si>
    <t>7018-7131</t>
  </si>
  <si>
    <t>felipecerdas@outlook.com</t>
  </si>
  <si>
    <t>BRYAN VALVERDE MEJIA</t>
  </si>
  <si>
    <t>1-01 LA MERCED</t>
  </si>
  <si>
    <t>bryvalmej16@gmail.com</t>
  </si>
  <si>
    <t>CRISTIAN CHAVARRIA MORA</t>
  </si>
  <si>
    <t>21 AÑOS</t>
  </si>
  <si>
    <t>zana4@hotmail.es</t>
  </si>
  <si>
    <t>JERRY CAMPOS MEJÍA</t>
  </si>
  <si>
    <t>jerrycampos24@gmail.com</t>
  </si>
  <si>
    <t>KENDALL LOPEZ MORA</t>
  </si>
  <si>
    <t>3 AÑOS</t>
  </si>
  <si>
    <t>f61inspector@gmail.com</t>
  </si>
  <si>
    <t>MOT607064</t>
  </si>
  <si>
    <t>MOT725897</t>
  </si>
  <si>
    <t>FZN250</t>
  </si>
  <si>
    <t>MOT701368</t>
  </si>
  <si>
    <t>DUKE 250</t>
  </si>
  <si>
    <t>MOT595684</t>
  </si>
  <si>
    <t>Aunier José Sequeira Navarrete</t>
  </si>
  <si>
    <t>7-0106-0953</t>
  </si>
  <si>
    <t>Palmar</t>
  </si>
  <si>
    <t xml:space="preserve">6-04 Palmar </t>
  </si>
  <si>
    <t xml:space="preserve">Banco de Costa Rica </t>
  </si>
  <si>
    <t>265-0014697-8</t>
  </si>
  <si>
    <t xml:space="preserve">15202265001469785 
</t>
  </si>
  <si>
    <t>asequeiran@gmail.com</t>
  </si>
  <si>
    <t>AUNIER SEQUEIRA NAVARRETE</t>
  </si>
  <si>
    <t>6-04 PALMAR</t>
  </si>
  <si>
    <t>COROLLA</t>
  </si>
  <si>
    <t>N° Oferta</t>
  </si>
  <si>
    <t>Zona base 1</t>
  </si>
  <si>
    <t>Experiencia
Siniestros 1</t>
  </si>
  <si>
    <t>PTS</t>
  </si>
  <si>
    <t>Experiencia Desplazamientos 1</t>
  </si>
  <si>
    <t>PTS2</t>
  </si>
  <si>
    <t>Título Académico</t>
  </si>
  <si>
    <t>PTS3</t>
  </si>
  <si>
    <t xml:space="preserve">Nota Total </t>
  </si>
  <si>
    <t>Placa 1</t>
  </si>
  <si>
    <t xml:space="preserve">NOTA FINAL </t>
  </si>
  <si>
    <t>4-02 HEREDIA</t>
  </si>
  <si>
    <t>DIF</t>
  </si>
  <si>
    <t>Nota Unidades</t>
  </si>
  <si>
    <t>Nota Total 2</t>
  </si>
  <si>
    <t>Inspector</t>
  </si>
  <si>
    <t xml:space="preserve">Dinier Araya Romero </t>
  </si>
  <si>
    <t xml:space="preserve">Leonardo Vargas Serrano </t>
  </si>
  <si>
    <t xml:space="preserve">Pablo Araya Romero </t>
  </si>
  <si>
    <t>Anthony Duran Acosta</t>
  </si>
  <si>
    <t>Gabriel Poveda Sanchez</t>
  </si>
  <si>
    <t>Joaquin Poveda Sanchez</t>
  </si>
  <si>
    <t>Kenneth Zapata Vasquez</t>
  </si>
  <si>
    <t>Luis Madrigal Lopez</t>
  </si>
  <si>
    <t>Marco Ramirez Segura</t>
  </si>
  <si>
    <t>Luis Alonso Castro Solorzano</t>
  </si>
  <si>
    <t>Gerardo Cortes Araya</t>
  </si>
  <si>
    <t xml:space="preserve">Mario Rojas Rodriguez </t>
  </si>
  <si>
    <t>Luis Obando Gonzalez</t>
  </si>
  <si>
    <t>Erick Leonel Roblero Campos</t>
  </si>
  <si>
    <t>Alejandro Rojas Alfaro</t>
  </si>
  <si>
    <t>Jonathan Gerardo Mena Alfaro</t>
  </si>
  <si>
    <t xml:space="preserve">GERARDO SABORIO MORA </t>
  </si>
  <si>
    <t>???</t>
  </si>
  <si>
    <t>Alberto Calderon Chaves</t>
  </si>
  <si>
    <t>Juan Guillermo Barquero Ortiz</t>
  </si>
  <si>
    <t xml:space="preserve">Jorge Alberto Rodriguez Villalobos </t>
  </si>
  <si>
    <t>Cristian Orozco Rodriguez</t>
  </si>
  <si>
    <t>Jordan Gonzalez Alvarado</t>
  </si>
  <si>
    <t>Keylor Ugalde Dávila</t>
  </si>
  <si>
    <t xml:space="preserve">Luis Orozco Rodríguez </t>
  </si>
  <si>
    <t>Jeffry Rojas Oviedo</t>
  </si>
  <si>
    <t>Maykel Rodriguez Lopez</t>
  </si>
  <si>
    <t>Rabdall Vargas Rodriguez</t>
  </si>
  <si>
    <t xml:space="preserve">Jayson Obredo Arroyo </t>
  </si>
  <si>
    <t>Luis Ordoñez Espinoza</t>
  </si>
  <si>
    <t>Oscar Gutierrez Martinez</t>
  </si>
  <si>
    <t>Geovanny Salazar Alvarado</t>
  </si>
  <si>
    <t xml:space="preserve">Raziel Jesus Aguilar Araya </t>
  </si>
  <si>
    <t>Wilson Porras Rojas</t>
  </si>
  <si>
    <t>Alana Mendez Cerdas</t>
  </si>
  <si>
    <t xml:space="preserve">Alexander Molina Navarro </t>
  </si>
  <si>
    <t>Alexander Umaña Mayorga</t>
  </si>
  <si>
    <t>Kenneth Gonzalez Zamora</t>
  </si>
  <si>
    <t>Henry Gómez Corea</t>
  </si>
  <si>
    <t>Jose Francisco Tenorio Infante</t>
  </si>
  <si>
    <t>Leda Chacon Gonzalez</t>
  </si>
  <si>
    <t>Gerardo Fuentes Chavarria</t>
  </si>
  <si>
    <t>Ignacio Alejandro Diaz Valerio</t>
  </si>
  <si>
    <t>Mauricio Calvo Calvo</t>
  </si>
  <si>
    <t>Michael Montero Montero</t>
  </si>
  <si>
    <t>Erick Hernandez Gomez</t>
  </si>
  <si>
    <t>Minor Anchia Cerdas</t>
  </si>
  <si>
    <t>Joan Lopez Zuñiga</t>
  </si>
  <si>
    <t>Gustavo Segura Arias</t>
  </si>
  <si>
    <t>Bryan Valverde Mejia</t>
  </si>
  <si>
    <t>Cristian Chavarria Mora</t>
  </si>
  <si>
    <t>Jerry Campos Mejía</t>
  </si>
  <si>
    <t>Kendall Lopez Mora</t>
  </si>
  <si>
    <t xml:space="preserve">Aunier Sequeira Navarrete </t>
  </si>
  <si>
    <t xml:space="preserve">Nombre del Inspector </t>
  </si>
  <si>
    <t xml:space="preserve">Promedio </t>
  </si>
  <si>
    <t>1-03 Desamparados</t>
  </si>
  <si>
    <t>1-04 Guadalupe</t>
  </si>
  <si>
    <t>1-06 Puriscal</t>
  </si>
  <si>
    <t xml:space="preserve">1-07 Tibas </t>
  </si>
  <si>
    <t>1-08 PZ</t>
  </si>
  <si>
    <t>1-09 Los Santos</t>
  </si>
  <si>
    <t>2-03 Ciudad Quesada</t>
  </si>
  <si>
    <t xml:space="preserve">2-04 Grecia </t>
  </si>
  <si>
    <t>2-05 San Ramón</t>
  </si>
  <si>
    <t>3-01 Cartago</t>
  </si>
  <si>
    <t xml:space="preserve">5-06 Península </t>
  </si>
  <si>
    <t>6-02 Puntarenas</t>
  </si>
  <si>
    <t>6-03 Ciudad Neily</t>
  </si>
  <si>
    <t>6-04 Palmar</t>
  </si>
  <si>
    <t xml:space="preserve">7-02 Guápiles </t>
  </si>
  <si>
    <t>Oferente</t>
  </si>
  <si>
    <t xml:space="preserve">Zona </t>
  </si>
  <si>
    <t>Bryan Valverde Mejía</t>
  </si>
  <si>
    <t>Edmundo Pacheco Ramirez</t>
  </si>
  <si>
    <t>Anthony Carmona Alvarado</t>
  </si>
  <si>
    <t>Melvin Vargas Sandi</t>
  </si>
  <si>
    <t>Gerardo Saborio Mora</t>
  </si>
  <si>
    <t>Bryan Vargas Ulloa</t>
  </si>
  <si>
    <t>Leda Chacon Gonzales</t>
  </si>
  <si>
    <t>Jonathan Mena Alfaro</t>
  </si>
  <si>
    <t>Dinier Araya Romero</t>
  </si>
  <si>
    <t>Leonardo Vargas Serrano</t>
  </si>
  <si>
    <t xml:space="preserve">Luis Orozco Rodriguez </t>
  </si>
  <si>
    <t>Jayson Obredo Arroyo</t>
  </si>
  <si>
    <t>Randall Vargas Rodriguez</t>
  </si>
  <si>
    <t>Mario Rojas Rodriguez</t>
  </si>
  <si>
    <t>Daniel Arias Vargas</t>
  </si>
  <si>
    <t>Raziel Jesús Aguilar Araya</t>
  </si>
  <si>
    <t>1-01 La Merced</t>
  </si>
  <si>
    <t>1-02 San Pedro</t>
  </si>
  <si>
    <t>1-07 Tibás</t>
  </si>
  <si>
    <t>1-08 Perez Zeledón</t>
  </si>
  <si>
    <t>2-01 Alajuela</t>
  </si>
  <si>
    <t>4-01 Belén</t>
  </si>
  <si>
    <t>5-02 Nicoya</t>
  </si>
  <si>
    <t>5-06 Península</t>
  </si>
  <si>
    <t>7-01 Limón</t>
  </si>
  <si>
    <t>7-02 Guápiles</t>
  </si>
  <si>
    <t xml:space="preserve">Motivo </t>
  </si>
  <si>
    <t xml:space="preserve">El oferente no subsanó correctamente la información de los inspectores propuestos, adicionalmente, por puntuación (20pts) no puede ser adjudicado en la zona ofertada. </t>
  </si>
  <si>
    <t xml:space="preserve">5-01 Liberia </t>
  </si>
  <si>
    <t xml:space="preserve">El oferente no remitió el título de escuela o colegio del inspector Juan Guillermo Barquero, adicionalmente, por puntación (77pts) no puede ser adjudicado en la zona ofertada.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</si>
</sst>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-0.499984740745262"/>
        <bgColor theme="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theme="2" tint="-0.249977111117893"/>
        <bgColor theme="1"/>
      </patternFill>
    </fill>
    <fill>
      <patternFill patternType="solid">
        <fgColor theme="4" tint="0.59999389629810485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4" tint="-0.249977111117893"/>
        <bgColor theme="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4" fillId="0" borderId="2" xfId="0" applyFont="1" applyBorder="1" applyAlignment="1">
      <alignment horizontal="center"/>
    </xf>
    <xf numFmtId="0" fontId="6" fillId="5" borderId="17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9" borderId="4" xfId="1" applyFont="1" applyFill="1" applyBorder="1" applyAlignment="1">
      <alignment horizontal="center" vertical="center" wrapText="1"/>
    </xf>
    <xf numFmtId="0" fontId="6" fillId="10" borderId="4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8" borderId="1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20" xfId="0" applyFont="1" applyBorder="1" applyAlignment="1">
      <alignment wrapText="1"/>
    </xf>
    <xf numFmtId="0" fontId="4" fillId="8" borderId="13" xfId="0" applyFont="1" applyFill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8" fillId="8" borderId="1" xfId="0" applyFont="1" applyFill="1" applyBorder="1" applyAlignment="1">
      <alignment horizontal="center"/>
    </xf>
    <xf numFmtId="0" fontId="4" fillId="8" borderId="13" xfId="0" applyFont="1" applyFill="1" applyBorder="1"/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/>
    <xf numFmtId="0" fontId="4" fillId="8" borderId="6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indent="1"/>
    </xf>
    <xf numFmtId="0" fontId="3" fillId="0" borderId="5" xfId="0" applyFont="1" applyBorder="1"/>
    <xf numFmtId="0" fontId="3" fillId="0" borderId="10" xfId="0" applyFont="1" applyBorder="1"/>
    <xf numFmtId="0" fontId="3" fillId="0" borderId="7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2" fillId="0" borderId="1" xfId="2" applyFont="1" applyFill="1" applyBorder="1" applyAlignment="1">
      <alignment horizontal="left"/>
    </xf>
    <xf numFmtId="0" fontId="12" fillId="0" borderId="1" xfId="2" applyFont="1" applyBorder="1" applyAlignment="1">
      <alignment horizontal="left"/>
    </xf>
    <xf numFmtId="0" fontId="12" fillId="0" borderId="1" xfId="2" applyFont="1" applyBorder="1"/>
    <xf numFmtId="0" fontId="12" fillId="0" borderId="1" xfId="2" applyFont="1" applyBorder="1" applyAlignment="1">
      <alignment horizontal="left" vertical="center"/>
    </xf>
    <xf numFmtId="0" fontId="12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1" xfId="3" applyFont="1" applyBorder="1" applyAlignment="1">
      <alignment horizontal="left"/>
    </xf>
    <xf numFmtId="0" fontId="12" fillId="0" borderId="0" xfId="2" applyFont="1" applyAlignment="1">
      <alignment horizontal="left"/>
    </xf>
    <xf numFmtId="0" fontId="12" fillId="0" borderId="1" xfId="3" applyFont="1" applyBorder="1"/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4" fillId="0" borderId="19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8" borderId="4" xfId="1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left" vertical="center" wrapText="1"/>
    </xf>
    <xf numFmtId="0" fontId="11" fillId="4" borderId="4" xfId="1" applyFont="1" applyFill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6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8" borderId="0" xfId="0" applyFont="1" applyFill="1"/>
    <xf numFmtId="0" fontId="3" fillId="12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3" fillId="8" borderId="1" xfId="0" applyFont="1" applyFill="1" applyBorder="1"/>
    <xf numFmtId="0" fontId="3" fillId="12" borderId="1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13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/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/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1" fillId="8" borderId="1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16" borderId="0" xfId="0" applyFill="1" applyAlignment="1">
      <alignment horizontal="center"/>
    </xf>
    <xf numFmtId="0" fontId="0" fillId="0" borderId="0" xfId="0" applyAlignment="1">
      <alignment vertical="center"/>
    </xf>
    <xf numFmtId="0" fontId="6" fillId="5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17" borderId="1" xfId="0" applyFont="1" applyFill="1" applyBorder="1" applyAlignment="1">
      <alignment vertical="center"/>
    </xf>
    <xf numFmtId="0" fontId="6" fillId="18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16" fillId="5" borderId="13" xfId="0" applyFont="1" applyFill="1" applyBorder="1" applyAlignment="1">
      <alignment horizontal="center"/>
    </xf>
    <xf numFmtId="0" fontId="0" fillId="8" borderId="6" xfId="0" applyFill="1" applyBorder="1"/>
    <xf numFmtId="0" fontId="0" fillId="8" borderId="13" xfId="0" applyFill="1" applyBorder="1" applyAlignment="1">
      <alignment horizontal="center"/>
    </xf>
    <xf numFmtId="16" fontId="0" fillId="8" borderId="6" xfId="0" applyNumberFormat="1" applyFill="1" applyBorder="1"/>
    <xf numFmtId="0" fontId="0" fillId="0" borderId="6" xfId="0" applyBorder="1"/>
    <xf numFmtId="0" fontId="0" fillId="0" borderId="13" xfId="0" applyBorder="1" applyAlignment="1">
      <alignment horizontal="center"/>
    </xf>
    <xf numFmtId="16" fontId="0" fillId="0" borderId="6" xfId="0" applyNumberFormat="1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16" fillId="18" borderId="6" xfId="0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3" fillId="2" borderId="14" xfId="1" applyFont="1" applyFill="1" applyBorder="1" applyAlignment="1">
      <alignment horizontal="center" vertical="center"/>
    </xf>
    <xf numFmtId="0" fontId="13" fillId="2" borderId="15" xfId="1" applyFont="1" applyFill="1" applyBorder="1" applyAlignment="1">
      <alignment horizontal="center" vertical="center"/>
    </xf>
    <xf numFmtId="0" fontId="13" fillId="2" borderId="16" xfId="1" applyFont="1" applyFill="1" applyBorder="1" applyAlignment="1">
      <alignment horizontal="center" vertical="center"/>
    </xf>
    <xf numFmtId="0" fontId="13" fillId="2" borderId="18" xfId="1" applyFont="1" applyFill="1" applyBorder="1" applyAlignment="1">
      <alignment vertical="center"/>
    </xf>
    <xf numFmtId="0" fontId="13" fillId="2" borderId="15" xfId="1" applyFont="1" applyFill="1" applyBorder="1" applyAlignment="1">
      <alignment vertical="center"/>
    </xf>
    <xf numFmtId="0" fontId="13" fillId="2" borderId="16" xfId="1" applyFont="1" applyFill="1" applyBorder="1" applyAlignment="1">
      <alignment vertical="center"/>
    </xf>
    <xf numFmtId="0" fontId="14" fillId="11" borderId="18" xfId="1" applyFont="1" applyFill="1" applyBorder="1" applyAlignment="1">
      <alignment horizontal="center" vertical="center"/>
    </xf>
    <xf numFmtId="0" fontId="14" fillId="11" borderId="15" xfId="1" applyFont="1" applyFill="1" applyBorder="1" applyAlignment="1">
      <alignment horizontal="center" vertical="center"/>
    </xf>
    <xf numFmtId="0" fontId="14" fillId="11" borderId="16" xfId="1" applyFont="1" applyFill="1" applyBorder="1" applyAlignment="1">
      <alignment horizontal="center" vertical="center"/>
    </xf>
    <xf numFmtId="0" fontId="13" fillId="2" borderId="18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vertical="center" wrapText="1"/>
    </xf>
  </cellXfs>
  <cellStyles count="4">
    <cellStyle name="%" xfId="1" xr:uid="{00000000-0005-0000-0000-000000000000}"/>
    <cellStyle name="Hipervínculo" xfId="2" builtinId="8"/>
    <cellStyle name="Hyperlink" xfId="3" xr:uid="{00000000-000B-0000-0000-000008000000}"/>
    <cellStyle name="Normal" xfId="0" builtinId="0"/>
  </cellStyles>
  <dxfs count="2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2F5F8"/>
      <color rgb="FFDB9A95"/>
      <color rgb="FFE7EB9F"/>
      <color rgb="FFEEA4C5"/>
      <color rgb="FFFDC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424692</xdr:colOff>
      <xdr:row>0</xdr:row>
      <xdr:rowOff>0</xdr:rowOff>
    </xdr:from>
    <xdr:to>
      <xdr:col>2</xdr:col>
      <xdr:colOff>618802</xdr:colOff>
      <xdr:row>11</xdr:row>
      <xdr:rowOff>199328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710711-3403-4FFB-8895-C24347787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596" y="0"/>
          <a:ext cx="1183244" cy="56567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thya Robles Muñoz" id="{78240A97-625C-4C5A-A3CE-52B068C988CF}" userId="S::kroblesm@grupoins.com::37c10468-35e5-4be7-8611-64aefb2c95c2" providerId="AD"/>
  <person displayName="Jackson Andrés Castro Abarca - IS" id="{A7625749-F315-45B0-A867-847AD8EA98B3}" userId="S::jacastroa@grupoins.com::bfbcf3d4-7109-4e77-a172-308945499ff2" providerId="AD"/>
  <person displayName="Samantha Fonseca Mora - IS" id="{B2CABB0E-C711-4D21-9E64-F352E22B38AA}" userId="S::sfonsecam@grupoins.com::4af7cd8a-ebe5-45ed-9100-b34e8b85dc7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4:IC33" totalsRowShown="0" headerRowDxfId="274" dataDxfId="272" headerRowBorderDxfId="273" tableBorderDxfId="271" totalsRowBorderDxfId="270" headerRowCellStyle="%">
  <autoFilter ref="B14:IC33" xr:uid="{00000000-0009-0000-0100-000001000000}"/>
  <tableColumns count="236">
    <tableColumn id="1" xr3:uid="{00000000-0010-0000-0000-000001000000}" name="N° OFERTA " dataDxfId="269"/>
    <tableColumn id="2" xr3:uid="{00000000-0010-0000-0000-000002000000}" name="Nombre Oferente" dataDxfId="268"/>
    <tableColumn id="48" xr3:uid="{00000000-0010-0000-0000-000030000000}" name="Nombre de Fantasía" dataDxfId="267"/>
    <tableColumn id="70" xr3:uid="{D3D23F94-CD9F-4567-A174-89D09A749A0A}" name="Tipo de Identificación Física/Juridica" dataDxfId="266"/>
    <tableColumn id="3" xr3:uid="{00000000-0010-0000-0000-000003000000}" name="Numero de Cédula Física/Juridica" dataDxfId="265"/>
    <tableColumn id="71" xr3:uid="{D814C69C-449E-4471-A1C1-5C2534243C51}" name="Dirección " dataDxfId="264"/>
    <tableColumn id="54" xr3:uid="{00000000-0010-0000-0000-000036000000}" name="Nombre" dataDxfId="263"/>
    <tableColumn id="53" xr3:uid="{00000000-0010-0000-0000-000035000000}" name="Numero Cédula" dataDxfId="262"/>
    <tableColumn id="50" xr3:uid="{00000000-0010-0000-0000-000032000000}" name="Copia Cédula " dataDxfId="261"/>
    <tableColumn id="4" xr3:uid="{00000000-0010-0000-0000-000004000000}" name="Dirección" dataDxfId="260"/>
    <tableColumn id="62" xr3:uid="{00000000-0010-0000-0000-00003E000000}" name="Calidades" dataDxfId="259"/>
    <tableColumn id="15" xr3:uid="{F0922D37-F335-493A-AC46-F52462833FF9}" name="Certificación de personería legal, naturaleza  y propiedad de las acciones - Personas Jurídicas" dataDxfId="258"/>
    <tableColumn id="14" xr3:uid="{00000000-0010-0000-0000-00000E000000}" name="Zona a ofertar" dataDxfId="257"/>
    <tableColumn id="46" xr3:uid="{00000000-0010-0000-0000-00002E000000}" name="Zona Base" dataDxfId="256"/>
    <tableColumn id="45" xr3:uid="{00000000-0010-0000-0000-00002D000000}" name="Zona  2" dataDxfId="255"/>
    <tableColumn id="222" xr3:uid="{00000000-0010-0000-0000-0000DE000000}" name="Zona 3" dataDxfId="254"/>
    <tableColumn id="221" xr3:uid="{00000000-0010-0000-0000-0000DD000000}" name="Zona 4" dataDxfId="253"/>
    <tableColumn id="147" xr3:uid="{EAC5A6A3-0C35-48D1-B443-AAA5AA109911}" name="Zona 5 " dataDxfId="252"/>
    <tableColumn id="149" xr3:uid="{998B9EEA-4D41-4514-9C61-D2EB0F95F573}" name="Entidad Bancaria" dataDxfId="251"/>
    <tableColumn id="16" xr3:uid="{00000000-0010-0000-0000-000010000000}" name="Cuenta Corriente " dataDxfId="250"/>
    <tableColumn id="5" xr3:uid="{00000000-0010-0000-0000-000005000000}" name="Cuenta Cliente _x000a_(SINPE-IBAN)                                                                         " dataDxfId="249"/>
    <tableColumn id="6" xr3:uid="{00000000-0010-0000-0000-000006000000}" name="Persona Contacto" dataDxfId="248"/>
    <tableColumn id="49" xr3:uid="{00000000-0010-0000-0000-000031000000}" name="Numero de Tel Persona Contacto" dataDxfId="247"/>
    <tableColumn id="47" xr3:uid="{00000000-0010-0000-0000-00002F000000}" name="Correo de notificaciones _x000a_" dataDxfId="246"/>
    <tableColumn id="8" xr3:uid="{00000000-0010-0000-0000-000008000000}" name="Declaración Jurada _x000a_(Anexo 3)" dataDxfId="245"/>
    <tableColumn id="217" xr3:uid="{00000000-0010-0000-0000-0000D9000000}" name="Declaración Jurada Experiencia (Anexo 2)" dataDxfId="244"/>
    <tableColumn id="12" xr3:uid="{00000000-0010-0000-0000-00000C000000}" name="Estado CCSS                                                                        " dataDxfId="243"/>
    <tableColumn id="13" xr3:uid="{00000000-0010-0000-0000-00000D000000}" name="Estado Fodesaf                                                    " dataDxfId="242"/>
    <tableColumn id="73" xr3:uid="{D0DB05BB-AAB2-42B5-9220-20A30DE9ED10}" name="Estado Hacienda" dataDxfId="241"/>
    <tableColumn id="36" xr3:uid="{0D429C54-89C7-4ABC-8175-2E97B6F071EF}" name="Estado Persona Juridica " dataDxfId="240"/>
    <tableColumn id="19" xr3:uid="{00000000-0010-0000-0000-000013000000}" name="Hoja de Delincuencia" dataDxfId="239"/>
    <tableColumn id="20" xr3:uid="{00000000-0010-0000-0000-000014000000}" name="Administración Tributaria " dataDxfId="238"/>
    <tableColumn id="60" xr3:uid="{00000000-0010-0000-0000-00003C000000}" name="CCSS" dataDxfId="237"/>
    <tableColumn id="21" xr3:uid="{00000000-0010-0000-0000-000015000000}" name="Póliza de Riesgos del Trabajo" dataDxfId="236"/>
    <tableColumn id="148" xr3:uid="{65F3B37D-61D9-447C-84E4-C5154046B8A9}" name="Timbres" dataDxfId="235"/>
    <tableColumn id="83" xr3:uid="{00000000-0010-0000-0000-000053000000}" name="Nombre de Inspector" dataDxfId="234"/>
    <tableColumn id="17" xr3:uid="{549E137F-E535-48B9-B021-9A056D20ECE4}" name="Zona" dataDxfId="233"/>
    <tableColumn id="22" xr3:uid="{0DE1CA62-89B9-4B03-B602-77DA2D0450B5}" name="Declaración Jurada Inspector (Anexo 4)" dataDxfId="232"/>
    <tableColumn id="35" xr3:uid="{9657FAC3-E608-4420-A252-4EE9D269410C}" name="Experiencia Inspección de Siniestros_x000a_(Años)2" dataDxfId="231"/>
    <tableColumn id="33" xr3:uid="{335C73BA-5B3D-4F57-BBC0-6065D1A8F8C6}" name="Experiencia Servicios de Desplazamiento _x000a_(Años)3" dataDxfId="230"/>
    <tableColumn id="23" xr3:uid="{00000000-0010-0000-0000-000017000000}" name="Cédula de identidad. " dataDxfId="229"/>
    <tableColumn id="24" xr3:uid="{00000000-0010-0000-0000-000018000000}" name="Licencia de conducir." dataDxfId="228"/>
    <tableColumn id="63" xr3:uid="{00000000-0010-0000-0000-00003F000000}" name="Título de escolaridad." dataDxfId="227"/>
    <tableColumn id="38" xr3:uid="{386AD032-EEBB-4404-A8D4-984D674576ED}" name="Titulo de Mecánica " dataDxfId="226"/>
    <tableColumn id="39" xr3:uid="{6C6A1206-2E29-43B9-A6CF-28F60ADE1436}" name="Titulo Servicio al Cliente " dataDxfId="225"/>
    <tableColumn id="55" xr3:uid="{9409BDE2-7CCC-4511-90DD-9B616DCA155C}" name="Titulo Ofimatica " dataDxfId="224"/>
    <tableColumn id="26" xr3:uid="{00000000-0010-0000-0000-00001A000000}" name="Hoja de Delincuencia." dataDxfId="223"/>
    <tableColumn id="25" xr3:uid="{D4596778-A33B-43C0-8563-8D5939012943}" name="CCSS_x000a_(Planilla - Trabajador Independiente) " dataDxfId="222"/>
    <tableColumn id="81" xr3:uid="{D2F26719-2F76-4EF9-996D-5267183FE77B}" name="Correo " dataDxfId="221"/>
    <tableColumn id="218" xr3:uid="{A7B1C260-C698-4C8E-AFD4-D14A1B713EB0}" name="Teléfono " dataDxfId="220"/>
    <tableColumn id="93" xr3:uid="{00000000-0010-0000-0000-00005D000000}" name="Nombre de Inspector 2" dataDxfId="219"/>
    <tableColumn id="92" xr3:uid="{00000000-0010-0000-0000-00005C000000}" name="Zona 2" dataDxfId="218"/>
    <tableColumn id="91" xr3:uid="{00000000-0010-0000-0000-00005B000000}" name="Declaración Jurada Inspector (Anexo 4) 2" dataDxfId="217"/>
    <tableColumn id="90" xr3:uid="{00000000-0010-0000-0000-00005A000000}" name="Experiencia Inspección de Siniestros_x000a_(Años) 2" dataDxfId="216"/>
    <tableColumn id="89" xr3:uid="{00000000-0010-0000-0000-000059000000}" name="Experiencia Servicios de Desplazamiento _x000a_(Años) 2" dataDxfId="215"/>
    <tableColumn id="88" xr3:uid="{00000000-0010-0000-0000-000058000000}" name="Cédula de indentidad. 2" dataDxfId="214"/>
    <tableColumn id="87" xr3:uid="{00000000-0010-0000-0000-000057000000}" name="Licencia de conducir 2" dataDxfId="213"/>
    <tableColumn id="225" xr3:uid="{27FB61CA-A97A-43A6-8096-BDA318877360}" name="Título de escolaridad 2" dataDxfId="212"/>
    <tableColumn id="224" xr3:uid="{67816646-289A-40FE-80C9-DDD8C29F2CC2}" name="Titulo de Mecánica 2" dataDxfId="211"/>
    <tableColumn id="97" xr3:uid="{00000000-0010-0000-0000-000061000000}" name="Titulo Servicio al Cliente 2" dataDxfId="210"/>
    <tableColumn id="96" xr3:uid="{00000000-0010-0000-0000-000060000000}" name="Titulo Ofimatica 2" dataDxfId="209"/>
    <tableColumn id="95" xr3:uid="{00000000-0010-0000-0000-00005F000000}" name="Hoja de Delincuencia 2" dataDxfId="208"/>
    <tableColumn id="76" xr3:uid="{00000000-0010-0000-0000-00004C000000}" name="CCSS_x000a_(Planilla - Trabajador Independiente) 2" dataDxfId="207"/>
    <tableColumn id="41" xr3:uid="{00000000-0010-0000-0000-000029000000}" name="Correo 2" dataDxfId="206"/>
    <tableColumn id="10" xr3:uid="{00000000-0010-0000-0000-00000A000000}" name="Teléfono 2" dataDxfId="205"/>
    <tableColumn id="7" xr3:uid="{00000000-0010-0000-0000-000007000000}" name="Nombre de Inspector 3" dataDxfId="204"/>
    <tableColumn id="226" xr3:uid="{DB075574-CC85-4CC3-BDFC-2CB5864E6F27}" name="Zona 32" dataDxfId="203"/>
    <tableColumn id="227" xr3:uid="{C0A12297-5416-4401-8EBC-DF99655C0D4A}" name="Declaración Jurada Inspector (Anexo 4) 3" dataDxfId="202"/>
    <tableColumn id="104" xr3:uid="{00000000-0010-0000-0000-000068000000}" name="Experiencia Inspección de Siniestros_x000a_(Años) 3" dataDxfId="201"/>
    <tableColumn id="80" xr3:uid="{9388BFA4-2588-4407-8FE1-86B4C21C596C}" name="Experiencia Servicios de Desplazamiento _x000a_(Años) 3" dataDxfId="200"/>
    <tableColumn id="61" xr3:uid="{B5360E23-6B7C-4760-BC85-AF59C8666ECB}" name="Cédula de indentidad 3" dataDxfId="199"/>
    <tableColumn id="59" xr3:uid="{72E265A4-A78E-41C9-96F8-0D0F0EA3BCD5}" name="Licencia de conducir 3" dataDxfId="198"/>
    <tableColumn id="58" xr3:uid="{4E683DE0-899C-4749-8D13-8559F45F8E6A}" name="Título de escolaridad 3" dataDxfId="197"/>
    <tableColumn id="103" xr3:uid="{00000000-0010-0000-0000-000067000000}" name="Titulo de Mecánica 3" dataDxfId="196"/>
    <tableColumn id="102" xr3:uid="{00000000-0010-0000-0000-000066000000}" name="Titulo Servicio al Cliente 3" dataDxfId="195"/>
    <tableColumn id="101" xr3:uid="{00000000-0010-0000-0000-000065000000}" name="Titulo Ofimatica 3" dataDxfId="194"/>
    <tableColumn id="100" xr3:uid="{00000000-0010-0000-0000-000064000000}" name="Hoja de Delincuencia 3" dataDxfId="193"/>
    <tableColumn id="99" xr3:uid="{00000000-0010-0000-0000-000063000000}" name="CCSS_x000a_(Planilla - Trabajador Independiente) 3" dataDxfId="192"/>
    <tableColumn id="98" xr3:uid="{00000000-0010-0000-0000-000062000000}" name="Correo 3" dataDxfId="191"/>
    <tableColumn id="228" xr3:uid="{9C2E7946-0627-42B0-A99B-44F86075C80D}" name="Teléfono 3" dataDxfId="190"/>
    <tableColumn id="229" xr3:uid="{CA92E0E8-578D-430B-9ADD-DFCC815D296A}" name="Nombre de Inspector 4" dataDxfId="189"/>
    <tableColumn id="133" xr3:uid="{00000000-0010-0000-0000-000085000000}" name="Zona 42" dataDxfId="188"/>
    <tableColumn id="132" xr3:uid="{00000000-0010-0000-0000-000084000000}" name="Declaración Jurada Inspector (Anexo 4) 4" dataDxfId="187"/>
    <tableColumn id="131" xr3:uid="{00000000-0010-0000-0000-000083000000}" name="Experiencia Inspección de Siniestros_x000a_(Años) 4" dataDxfId="186"/>
    <tableColumn id="130" xr3:uid="{00000000-0010-0000-0000-000082000000}" name="Experiencia Servicios de Desplazamiento _x000a_(Años) 4" dataDxfId="185"/>
    <tableColumn id="129" xr3:uid="{00000000-0010-0000-0000-000081000000}" name="Cédula de indentidad 4" dataDxfId="184"/>
    <tableColumn id="128" xr3:uid="{00000000-0010-0000-0000-000080000000}" name="Licencia de conducir 4" dataDxfId="183"/>
    <tableColumn id="127" xr3:uid="{00000000-0010-0000-0000-00007F000000}" name="Título de escolaridad 4" dataDxfId="182"/>
    <tableColumn id="231" xr3:uid="{744F96AC-28E8-4B4E-BC5D-3837F8347804}" name="Titulo de Mecánica 4" dataDxfId="181"/>
    <tableColumn id="230" xr3:uid="{59E46B28-0DE1-4D7C-944C-89E82C81241E}" name="Titulo Servicio al Cliente 4" dataDxfId="180"/>
    <tableColumn id="106" xr3:uid="{6FB509A0-2643-476C-980A-31D59A1D3DB1}" name="Titulo Ofimatica 4" dataDxfId="179"/>
    <tableColumn id="107" xr3:uid="{9095AA58-7C57-44F5-800C-48C6AA96A49C}" name="Hoja de Delincuencia 4" dataDxfId="178"/>
    <tableColumn id="108" xr3:uid="{4FD8A41E-811E-49A6-A1C1-FCC4267757ED}" name="CCSS_x000a_(Planilla - Trabajador Independiente) 4" dataDxfId="177"/>
    <tableColumn id="82" xr3:uid="{3F8D3F27-AFE7-4E14-B905-EAF03192CD19}" name="Correo 4" dataDxfId="176"/>
    <tableColumn id="94" xr3:uid="{FB4F8858-C7CC-4D2B-999C-078CA80D9C82}" name="Teléfono 4" dataDxfId="175"/>
    <tableColumn id="119" xr3:uid="{29082890-DF43-44F2-9F5B-E55C86D3ECDE}" name="Nombre de Inspector 5" dataDxfId="174"/>
    <tableColumn id="120" xr3:uid="{311EFDF9-C8B8-4598-B5AC-28E5A796DD25}" name="Zona 5" dataDxfId="173"/>
    <tableColumn id="121" xr3:uid="{98F5A632-59BA-416D-9169-0EB19C30ED5A}" name="Declaración Jurada Inspector (Anexo 4) 5" dataDxfId="172"/>
    <tableColumn id="122" xr3:uid="{B9FD6B89-BA31-4FF8-8ECE-49A67B8D604B}" name="Experiencia Inspección de Siniestros_x000a_(Años) 5" dataDxfId="171"/>
    <tableColumn id="123" xr3:uid="{F148BEC1-94FE-48E0-ACE2-20F0AC01FB51}" name="Experiencia Servicios de Desplazamiento _x000a_(Años) 5" dataDxfId="170"/>
    <tableColumn id="109" xr3:uid="{FE505A0F-64E1-4F51-9A9A-5070B39C477A}" name="Cédula de indentidad 5" dataDxfId="169"/>
    <tableColumn id="116" xr3:uid="{564F068E-51AF-42C5-BC5D-9ED2D43C7287}" name="Licencia de conducir 5" dataDxfId="168"/>
    <tableColumn id="117" xr3:uid="{6E88166E-8B4A-49A1-8671-D823A74ABDF2}" name="Título de escolaridad 5" dataDxfId="167"/>
    <tableColumn id="118" xr3:uid="{060B0588-844F-4003-867E-2849881C7FC4}" name="Titulo de Mecánica 5" dataDxfId="166"/>
    <tableColumn id="105" xr3:uid="{863E4D90-9419-49B1-B505-8B46D8DBFA11}" name="Titulo Servicio al Cliente 5" dataDxfId="165"/>
    <tableColumn id="140" xr3:uid="{00000000-0010-0000-0000-00008C000000}" name="Titulo Ofimatica 5" dataDxfId="164"/>
    <tableColumn id="139" xr3:uid="{00000000-0010-0000-0000-00008B000000}" name="Hoja de Delincuencia 5" dataDxfId="163"/>
    <tableColumn id="138" xr3:uid="{00000000-0010-0000-0000-00008A000000}" name="CCSS_x000a_(Planilla - Trabajador Independiente) 5" dataDxfId="162"/>
    <tableColumn id="137" xr3:uid="{00000000-0010-0000-0000-000089000000}" name="Correo 5" dataDxfId="161"/>
    <tableColumn id="28" xr3:uid="{00000000-0010-0000-0000-00001C000000}" name="Teléfono 5" dataDxfId="160"/>
    <tableColumn id="158" xr3:uid="{0D54D11E-D677-4F17-AA8A-E058EDD69165}" name="Nombre de Inspector 6" dataDxfId="159"/>
    <tableColumn id="159" xr3:uid="{C67E498E-D182-47B7-9746-F557840DF708}" name="Zona 6" dataDxfId="158"/>
    <tableColumn id="160" xr3:uid="{3E520DAC-279E-4C07-BB83-54BFC152EB1A}" name="Declaración Jurada Inspector (Anexo 4) " dataDxfId="157"/>
    <tableColumn id="161" xr3:uid="{7DDE0CEC-3DF4-4082-8691-3502D1D5F304}" name="Experiencia Inspección de Siniestros_x000a_(Años) " dataDxfId="156"/>
    <tableColumn id="162" xr3:uid="{196A453A-179B-4530-8348-6B6FA3CBD360}" name="Experiencia Servicios de Desplazamiento _x000a_(Años) " dataDxfId="155"/>
    <tableColumn id="163" xr3:uid="{09D2D2CE-CC5A-480F-8F94-18DA01F46720}" name="Cédula de indentidad " dataDxfId="154"/>
    <tableColumn id="164" xr3:uid="{57895B1E-8F28-41E3-90B1-63627677B3AA}" name="Licencia de conducir " dataDxfId="153"/>
    <tableColumn id="165" xr3:uid="{81B694EE-82B7-4701-AC77-3B71B1E18AC2}" name="Título de escolaridad " dataDxfId="152"/>
    <tableColumn id="124" xr3:uid="{B289C730-62F2-412E-9CCD-930F934782BE}" name="Titulo de Mecánica 6" dataDxfId="151"/>
    <tableColumn id="155" xr3:uid="{95408837-0447-4398-AC34-B3209F0A1B0D}" name="Titulo Servicio al Cliente 6" dataDxfId="150"/>
    <tableColumn id="156" xr3:uid="{56A341F4-FA99-41E7-A6B0-A78DC503A24C}" name="Titulo Ofimatica 6" dataDxfId="149"/>
    <tableColumn id="157" xr3:uid="{DB9B3328-0397-4302-A32A-ECDA7D4F8980}" name="Hoja de Delincuencia 6" dataDxfId="148"/>
    <tableColumn id="32" xr3:uid="{FD5F0CE6-CEC7-4EB4-AE2C-BDC826C4E599}" name="CCSS_x000a_(Planilla - Trabajador Independiente) 6" dataDxfId="147"/>
    <tableColumn id="57" xr3:uid="{9682DF35-2B44-42DB-AF6F-E6508A917F1D}" name="Correo 6" dataDxfId="146"/>
    <tableColumn id="27" xr3:uid="{8DC827C8-C42A-46F3-8D5D-63C7DD98DF46}" name="Teléfono 6" dataDxfId="145"/>
    <tableColumn id="173" xr3:uid="{BAC51C7F-85FF-4179-B9CB-932BC083F30E}" name="Nombre de Inspector 7" dataDxfId="144"/>
    <tableColumn id="174" xr3:uid="{D4D1007E-603D-429D-B2A1-8C593C36A2C1}" name="Zona 7" dataDxfId="143"/>
    <tableColumn id="175" xr3:uid="{8F7A1DE0-6A32-4A30-BF8C-92B0684FDF01}" name="Declaración Jurada Inspector (Anexo 4) 7" dataDxfId="142"/>
    <tableColumn id="176" xr3:uid="{8BCEA4FE-F547-49BF-935A-8E21E6550242}" name="Experiencia Inspección de Siniestros_x000a_(Años) 7" dataDxfId="141"/>
    <tableColumn id="177" xr3:uid="{D949D4DA-E3D1-42F0-AC50-9F4C5FD0158D}" name="Experiencia Servicios de Desplazamiento _x000a_(Años) 7" dataDxfId="140"/>
    <tableColumn id="178" xr3:uid="{6562330D-250B-4642-829B-3FBE2D455551}" name="Cédula de indentidad 7" dataDxfId="139"/>
    <tableColumn id="179" xr3:uid="{74455137-9158-4623-8010-0DF4EBCF3D01}" name="Licencia de conducir 7" dataDxfId="138"/>
    <tableColumn id="180" xr3:uid="{9B38559A-8B5B-4F0C-866B-DE9E05FAF040}" name="Título de escolaridad 7" dataDxfId="137"/>
    <tableColumn id="169" xr3:uid="{5A592D97-0685-4BAD-BA27-C9BE9171C04C}" name="Titulo de Mecánica 7" dataDxfId="136"/>
    <tableColumn id="170" xr3:uid="{EDFA7723-EFEA-40ED-96E2-996D9C058B2D}" name="Titulo Servicio al Cliente 7" dataDxfId="135"/>
    <tableColumn id="171" xr3:uid="{0D3AE770-0EF9-48F1-AFE7-4459E63A75AB}" name="Titulo Ofimatica 7" dataDxfId="134"/>
    <tableColumn id="172" xr3:uid="{4C174435-471A-4B01-8067-EDC22F42F3DF}" name="Hoja de Delincuencia 7" dataDxfId="133"/>
    <tableColumn id="167" xr3:uid="{CE07F254-6A7A-412D-9477-5598A7407854}" name="CCSS_x000a_(Planilla - Trabajador Independiente) 7" dataDxfId="132"/>
    <tableColumn id="168" xr3:uid="{708CFFA8-5E26-45A3-AC87-A5B945B058CF}" name="Correo 7" dataDxfId="131"/>
    <tableColumn id="77" xr3:uid="{00000000-0010-0000-0000-00004D000000}" name="Teléfono 7" dataDxfId="130"/>
    <tableColumn id="9" xr3:uid="{0068799D-DAF8-4DF0-8321-AA3AE7AA788F}" name="Nombre de Inspector 8" dataDxfId="129"/>
    <tableColumn id="186" xr3:uid="{55D2D8B9-E4AB-489C-A645-1D84094261DD}" name="Zona 8" dataDxfId="128"/>
    <tableColumn id="185" xr3:uid="{E3D52A3B-7923-4F4D-96D4-3F4843C4907A}" name="Declaración Jurada Inspector (Anexo 4) 8" dataDxfId="127"/>
    <tableColumn id="184" xr3:uid="{FC348F25-90D8-405E-B8E6-22C4A9778BCA}" name="Experiencia Inspección de Siniestros_x000a_(Años) 8" dataDxfId="126"/>
    <tableColumn id="183" xr3:uid="{A82B708A-7347-4404-AECE-15D043317B65}" name="Experiencia Servicios de Desplazamiento _x000a_(Años) 8" dataDxfId="125"/>
    <tableColumn id="215" xr3:uid="{2A53C7D3-F50B-4725-9B40-A8F1D854935D}" name="Cédula de indentidad 8" dataDxfId="124"/>
    <tableColumn id="214" xr3:uid="{A906D5BB-0C31-4CFE-B8DF-30ADB882C48B}" name="Licencia de conducir 8" dataDxfId="123"/>
    <tableColumn id="213" xr3:uid="{FCB92503-A9F2-4322-AA54-F9700FC421B2}" name="Título de escolaridad 8" dataDxfId="122"/>
    <tableColumn id="212" xr3:uid="{5BE026D8-304A-4F78-BC50-F929D32422DB}" name="Titulo de Mecánica 8" dataDxfId="121"/>
    <tableColumn id="191" xr3:uid="{9A415674-418D-42A9-A0C3-794E3C4D017B}" name="Titulo Servicio al Cliente 8" dataDxfId="120"/>
    <tableColumn id="190" xr3:uid="{935922C9-4D07-4030-BA3B-B4DAAE192429}" name="Titulo Ofimatica 8" dataDxfId="119"/>
    <tableColumn id="189" xr3:uid="{D4658ECE-95D2-428C-BB89-16AC3016D2F6}" name="Hoja de Delincuencia 8" dataDxfId="118"/>
    <tableColumn id="188" xr3:uid="{D773002D-ECBA-4DE0-BD3D-33AD0402BDDC}" name="CCSS_x000a_(Planilla - Trabajador Independiente) 8" dataDxfId="117"/>
    <tableColumn id="187" xr3:uid="{DFFA46BA-DCAE-454D-AA98-41439E08B6F3}" name="Correo 8" dataDxfId="116"/>
    <tableColumn id="182" xr3:uid="{D899DF67-53A3-4C64-8DF8-5126EE7E9AD4}" name="Teléfono 8" dataDxfId="115"/>
    <tableColumn id="181" xr3:uid="{79BFEF58-CC56-48BB-B0B1-791233532AA6}" name="Número de placa 1" dataDxfId="114"/>
    <tableColumn id="150" xr3:uid="{046F2EA9-6AEB-47C0-9617-833F2FFFB164}" name="Tipo de Vehículo " dataDxfId="113"/>
    <tableColumn id="125" xr3:uid="{164CEA64-7068-40EB-A557-0D3494D533ED}" name="Año" dataDxfId="112"/>
    <tableColumn id="126" xr3:uid="{CA1E5E30-EF1E-49AA-BCC4-4ACCE788DC2B}" name="Marca " dataDxfId="111"/>
    <tableColumn id="134" xr3:uid="{EF36456C-8CE3-40A9-BD7C-B3C4A14CFB4A}" name="Modelo " dataDxfId="110"/>
    <tableColumn id="18" xr3:uid="{00000000-0010-0000-0000-000012000000}" name="Título de Propiedad" dataDxfId="109"/>
    <tableColumn id="29" xr3:uid="{00000000-0010-0000-0000-00001D000000}" name="Contrato de comodato  (Cuando el dueño registral es otra persona)" dataDxfId="108"/>
    <tableColumn id="30" xr3:uid="{00000000-0010-0000-0000-00001E000000}" name="Riteve" dataDxfId="107"/>
    <tableColumn id="31" xr3:uid="{00000000-0010-0000-0000-00001F000000}" name="Derecho de Circulación" dataDxfId="106"/>
    <tableColumn id="84" xr3:uid="{00000000-0010-0000-0000-000054000000}" name="Fotografías (cuatro costados, VIN y odómetro)" dataDxfId="105"/>
    <tableColumn id="56" xr3:uid="{00000000-0010-0000-0000-000038000000}" name="Número de placa 2" dataDxfId="104"/>
    <tableColumn id="151" xr3:uid="{8AD5256D-35DF-40DE-A6F0-DAD07EE11441}" name="Tipo de Vehículo 2" dataDxfId="103"/>
    <tableColumn id="78" xr3:uid="{00000000-0010-0000-0000-00004E000000}" name="Año 2" dataDxfId="102"/>
    <tableColumn id="136" xr3:uid="{4AC83F7C-40AA-4AF0-B625-09B6993E406E}" name="Marca 2" dataDxfId="101"/>
    <tableColumn id="135" xr3:uid="{C1DA0570-177E-49B9-B770-658980BB5A4E}" name="Modelo 2" dataDxfId="100"/>
    <tableColumn id="52" xr3:uid="{00000000-0010-0000-0000-000034000000}" name="Título de Propiedad 2" dataDxfId="99"/>
    <tableColumn id="51" xr3:uid="{00000000-0010-0000-0000-000033000000}" name="Contrato de comodato  (Cuando el dueño registral es otra persona) 2" dataDxfId="98"/>
    <tableColumn id="44" xr3:uid="{00000000-0010-0000-0000-00002C000000}" name="Riteve 2" dataDxfId="97"/>
    <tableColumn id="43" xr3:uid="{00000000-0010-0000-0000-00002B000000}" name="Derecho de Circulación 2" dataDxfId="96"/>
    <tableColumn id="42" xr3:uid="{00000000-0010-0000-0000-00002A000000}" name="Fotografías 2" dataDxfId="95"/>
    <tableColumn id="40" xr3:uid="{00000000-0010-0000-0000-000028000000}" name="Número de placa 3" dataDxfId="94"/>
    <tableColumn id="152" xr3:uid="{07A9048B-2F09-4834-860C-20004165FCEA}" name="Tipo de Vehículo 3" dataDxfId="93"/>
    <tableColumn id="37" xr3:uid="{00000000-0010-0000-0000-000025000000}" name="Año 3" dataDxfId="92"/>
    <tableColumn id="142" xr3:uid="{F4472EDD-2D6B-4D89-8AEB-10703BE8DB88}" name="Marca 3" dataDxfId="91"/>
    <tableColumn id="141" xr3:uid="{1132F3CC-56D7-4434-BECF-99C59053D5DD}" name="Modelo 3" dataDxfId="90"/>
    <tableColumn id="34" xr3:uid="{00000000-0010-0000-0000-000022000000}" name="Título de Propiedad 3" dataDxfId="89"/>
    <tableColumn id="85" xr3:uid="{00000000-0010-0000-0000-000055000000}" name="Contrato de comodato  (Cuando el dueño registral es otra persona) 3" dataDxfId="88"/>
    <tableColumn id="74" xr3:uid="{00000000-0010-0000-0000-00004A000000}" name="Riteve 3" dataDxfId="87"/>
    <tableColumn id="79" xr3:uid="{00000000-0010-0000-0000-00004F000000}" name="Derecho de Circulación 3" dataDxfId="86"/>
    <tableColumn id="72" xr3:uid="{00000000-0010-0000-0000-000048000000}" name="Fotografías 3" dataDxfId="85"/>
    <tableColumn id="69" xr3:uid="{00000000-0010-0000-0000-000045000000}" name="Número de placa 4" dataDxfId="84"/>
    <tableColumn id="153" xr3:uid="{6D7B51A6-744D-4C6C-AE27-607556E1716A}" name="Tipo de Vehículo 4" dataDxfId="83"/>
    <tableColumn id="68" xr3:uid="{00000000-0010-0000-0000-000044000000}" name="Año 4" dataDxfId="82"/>
    <tableColumn id="144" xr3:uid="{7DB9C8B7-40B3-4FD7-971F-D50FEE234A50}" name="Marca 4" dataDxfId="81"/>
    <tableColumn id="143" xr3:uid="{AA636B0B-BC39-4102-AE7C-6913A9105422}" name="Modelo 4" dataDxfId="80"/>
    <tableColumn id="67" xr3:uid="{00000000-0010-0000-0000-000043000000}" name="Título de Propiedad 4" dataDxfId="79"/>
    <tableColumn id="66" xr3:uid="{00000000-0010-0000-0000-000042000000}" name="Contrato de comodato  (Cuando el dueño registral es otra persona) 4" dataDxfId="78"/>
    <tableColumn id="75" xr3:uid="{00000000-0010-0000-0000-00004B000000}" name="Riteve 4" dataDxfId="77"/>
    <tableColumn id="65" xr3:uid="{00000000-0010-0000-0000-000041000000}" name="Derecho de Circulación 4" dataDxfId="76"/>
    <tableColumn id="64" xr3:uid="{00000000-0010-0000-0000-000040000000}" name="Fotografías 4" dataDxfId="75"/>
    <tableColumn id="86" xr3:uid="{00000000-0010-0000-0000-000056000000}" name="Número de placa 5" dataDxfId="74"/>
    <tableColumn id="154" xr3:uid="{296E7E3A-5890-4DF6-86B3-786DBA865C2C}" name="Tipo de Vehículo 5" dataDxfId="73"/>
    <tableColumn id="115" xr3:uid="{00000000-0010-0000-0000-000073000000}" name="Año 5" dataDxfId="72"/>
    <tableColumn id="145" xr3:uid="{F8D5BC75-6249-4F21-83D9-500D02F24002}" name="Marca 5" dataDxfId="71"/>
    <tableColumn id="146" xr3:uid="{A416205F-6C1A-452B-9C44-D3385CDC8D40}" name="Modelo 5" dataDxfId="70"/>
    <tableColumn id="114" xr3:uid="{00000000-0010-0000-0000-000072000000}" name="Título de Propiedad 5" dataDxfId="69"/>
    <tableColumn id="113" xr3:uid="{00000000-0010-0000-0000-000071000000}" name="Contrato de comodato  (Cuando el dueño registral es otra persona) 5" dataDxfId="68"/>
    <tableColumn id="112" xr3:uid="{00000000-0010-0000-0000-000070000000}" name="Riteve 5" dataDxfId="67"/>
    <tableColumn id="111" xr3:uid="{00000000-0010-0000-0000-00006F000000}" name="Derecho de Circulación 5" dataDxfId="66"/>
    <tableColumn id="110" xr3:uid="{00000000-0010-0000-0000-00006E000000}" name="Fotografías 5" dataDxfId="65"/>
    <tableColumn id="200" xr3:uid="{C9A31C30-6501-4ED5-8550-6D9EFABDAAE7}" name="Número de placa 6" dataDxfId="64"/>
    <tableColumn id="201" xr3:uid="{84034E9C-E110-4E47-9E58-94C54DEF10E2}" name="Tipo de Vehículo" dataDxfId="63"/>
    <tableColumn id="202" xr3:uid="{A346D24A-373C-40EC-AE4C-B882E73EA54E}" name="Año " dataDxfId="62"/>
    <tableColumn id="203" xr3:uid="{639AA0F5-3B61-4AB2-8B22-F84384FFDA48}" name="Marca" dataDxfId="61"/>
    <tableColumn id="204" xr3:uid="{6A8DF2A7-4117-4E72-A4CC-DF394491CAD9}" name="Modelo" dataDxfId="60"/>
    <tableColumn id="205" xr3:uid="{944ABA26-908E-42DC-B19A-DB86E13CF075}" name="Título de Propiedad " dataDxfId="59"/>
    <tableColumn id="206" xr3:uid="{5DAF3176-F89D-47F1-8135-3B13F3588E58}" name="Contrato de comodato  (Cuando el dueño registral es otra persona) 58" dataDxfId="58"/>
    <tableColumn id="207" xr3:uid="{C245BC63-EE26-4774-8550-2E75E96E65D9}" name="Riteve " dataDxfId="57"/>
    <tableColumn id="196" xr3:uid="{498D0429-D381-48E5-8FA6-D53938E2BE89}" name="Derecho de Circulación " dataDxfId="56"/>
    <tableColumn id="197" xr3:uid="{DC304BA5-6509-4EC2-A938-97F0B6489BB3}" name="Fotografías " dataDxfId="55"/>
    <tableColumn id="198" xr3:uid="{9A1F10AB-DEF3-41D2-A566-721A159E5B75}" name="Número de placa 7" dataDxfId="54"/>
    <tableColumn id="199" xr3:uid="{3EAF7557-42B3-48A3-95A7-47A1DB4C3F9C}" name="Tipo de Vehículo2" dataDxfId="53"/>
    <tableColumn id="208" xr3:uid="{56E77CD9-C6A5-4330-B51C-91648A3BBDAD}" name="Año2" dataDxfId="52"/>
    <tableColumn id="209" xr3:uid="{FE2973A5-5796-479C-AC76-11545AAB20ED}" name="Marca2" dataDxfId="51"/>
    <tableColumn id="210" xr3:uid="{5D90528C-1E91-4E0D-8C96-1198B82CA768}" name="Modelo2" dataDxfId="50"/>
    <tableColumn id="211" xr3:uid="{D04D497C-FDB6-41C9-9D4D-C971D8A4506F}" name="Título de Propiedad2" dataDxfId="49"/>
    <tableColumn id="194" xr3:uid="{B682B152-C80F-4584-9B01-7B88B6E47695}" name="Contrato de comodato  (Cuando el dueño registral es otra persona) " dataDxfId="48"/>
    <tableColumn id="195" xr3:uid="{40941389-E454-4E20-BB75-136BD1884DE4}" name="Riteve 6" dataDxfId="47"/>
    <tableColumn id="193" xr3:uid="{4FD7DD3E-F835-435B-BBAA-C11C61FE06B1}" name="Derecho de Circulación2" dataDxfId="46"/>
    <tableColumn id="192" xr3:uid="{4B8873E9-E4DB-49A8-9DA2-165A41C14EF0}" name="Fotografías" dataDxfId="45"/>
    <tableColumn id="235" xr3:uid="{0B0AC721-65E4-4872-BCF8-3EC1F58456B1}" name="Número de placa 8" dataDxfId="44"/>
    <tableColumn id="236" xr3:uid="{EE31E44D-78DB-4847-916B-4842AF20A687}" name="Tipo de Vehículo8" dataDxfId="43"/>
    <tableColumn id="237" xr3:uid="{0A1E687E-C024-4E6C-A6C9-C8E1724C713D}" name="Año8" dataDxfId="42"/>
    <tableColumn id="238" xr3:uid="{FFB4A277-7172-425C-9873-BC5627FA8DC8}" name="Marca8" dataDxfId="41"/>
    <tableColumn id="232" xr3:uid="{866052C1-369B-41E8-ABAB-9ADF30C8B594}" name="Modelo8" dataDxfId="40"/>
    <tableColumn id="233" xr3:uid="{BF7B8BA8-C06B-4858-8451-F9905ABAD122}" name="Título de Propiedad8" dataDxfId="39"/>
    <tableColumn id="234" xr3:uid="{D14E0880-0DE5-4169-8A9F-5C449D2B7802}" name="Contrato de comodato  (Cuando el dueño registral es otra persona) 8" dataDxfId="38"/>
    <tableColumn id="220" xr3:uid="{6E43E698-B3F1-4BDC-8900-50120E259346}" name="Riteve 8" dataDxfId="37"/>
    <tableColumn id="219" xr3:uid="{1B9B68C0-1055-4716-A7B8-7FB82C55AFA7}" name="Derecho de Circulación8" dataDxfId="36"/>
    <tableColumn id="216" xr3:uid="{C6C8CDDC-EA9C-4A8B-AF17-66F1281CFBDD}" name="Fotografías8" dataDxfId="35"/>
    <tableColumn id="223" xr3:uid="{00000000-0010-0000-0000-0000DF000000}" name="Promedio Antigüedad" dataDxfId="34">
      <calculatedColumnFormula>AVERAGE(Tabla1[[#This Row],[Año 5]],Tabla1[[#This Row],[Año 4]],Tabla1[[#This Row],[Año 3]],Tabla1[[#This Row],[Año 2]],Tabla1[[#This Row],[Año]])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0EAD84-6E84-4139-ABE7-AD168807C707}" name="Tabla26" displayName="Tabla26" ref="A1:P62" totalsRowShown="0" headerRowDxfId="33" dataDxfId="31" headerRowBorderDxfId="32" tableBorderDxfId="30" totalsRowBorderDxfId="29">
  <autoFilter ref="A1:P62" xr:uid="{C2BC3538-A9A9-4747-A394-0C6B75995782}"/>
  <tableColumns count="16">
    <tableColumn id="1" xr3:uid="{2CF8E0B8-FB30-4E8E-9260-5D73EB00F52E}" name="N° Oferta" dataDxfId="28"/>
    <tableColumn id="2" xr3:uid="{1745123F-35CB-4A78-8A4E-22E3867CE99E}" name="Nombre Oferente" dataDxfId="27">
      <calculatedColumnFormula>VLOOKUP(A2,Tabla1[#All],2)</calculatedColumnFormula>
    </tableColumn>
    <tableColumn id="3" xr3:uid="{0B8DEE6C-D249-4687-BD81-7D014798AAF9}" name="Nombre del Inspector " dataDxfId="26">
      <calculatedColumnFormula>VLOOKUP(A2,Tabla1[#All],36)</calculatedColumnFormula>
    </tableColumn>
    <tableColumn id="4" xr3:uid="{1BD9F162-BEB6-4172-BA25-CE9BD362BB9F}" name="Zona base 1" dataDxfId="25">
      <calculatedColumnFormula>VLOOKUP(A2,Tabla1[#All],37)</calculatedColumnFormula>
    </tableColumn>
    <tableColumn id="5" xr3:uid="{1E5C9A66-A41B-4E00-A9D0-1331D5B28689}" name="Experiencia_x000a_Siniestros 1" dataDxfId="24">
      <calculatedColumnFormula>VLOOKUP(A2,Tabla1[#All],54)</calculatedColumnFormula>
    </tableColumn>
    <tableColumn id="6" xr3:uid="{1E75FE88-5FDC-4424-8C88-4F4D9D3498D9}" name="PTS" dataDxfId="23"/>
    <tableColumn id="7" xr3:uid="{75D55C46-7E19-4E2F-82EF-3816B995F3C4}" name="Experiencia Desplazamientos 1" dataDxfId="22">
      <calculatedColumnFormula>VLOOKUP(A2,Tabla1[#All],40)</calculatedColumnFormula>
    </tableColumn>
    <tableColumn id="8" xr3:uid="{229D6D18-6643-4BAE-A1F9-B8DDB21D735A}" name="PTS2" dataDxfId="21"/>
    <tableColumn id="9" xr3:uid="{20165996-BD84-4286-BCEA-5412C283D6A1}" name="Título Académico" dataDxfId="20">
      <calculatedColumnFormula>VLOOKUP(A2,Tabla1[#All],43)</calculatedColumnFormula>
    </tableColumn>
    <tableColumn id="10" xr3:uid="{2A833E69-15F1-48B7-83BF-99234CFBDDD4}" name="Titulo de Mecánica " dataDxfId="19">
      <calculatedColumnFormula>VLOOKUP(A2,Tabla1[#All],44)</calculatedColumnFormula>
    </tableColumn>
    <tableColumn id="11" xr3:uid="{2D3FEF8F-C12C-402F-AE03-BE5DB6AF8B71}" name="Titulo Servicio al Cliente " dataDxfId="18">
      <calculatedColumnFormula>VLOOKUP(A2,Tabla1[#All],45)</calculatedColumnFormula>
    </tableColumn>
    <tableColumn id="12" xr3:uid="{3AD37CDB-2982-4F0C-9EEB-B2B8ED20BC01}" name="Titulo Ofimatica " dataDxfId="17">
      <calculatedColumnFormula>VLOOKUP(A2,Tabla1[#All],46)</calculatedColumnFormula>
    </tableColumn>
    <tableColumn id="13" xr3:uid="{A8D7A189-E2B4-4CF2-A4BE-A9CBB339D269}" name="PTS3" dataDxfId="16"/>
    <tableColumn id="14" xr3:uid="{7B7B6761-AD87-4B9E-9508-BC44029D3910}" name="Nota Total " dataDxfId="15">
      <calculatedColumnFormula>+F2+H2+M2</calculatedColumnFormula>
    </tableColumn>
    <tableColumn id="15" xr3:uid="{3B1B6F29-55A0-498D-9AE7-EF1CACC34951}" name="Nota Unidades" dataDxfId="14"/>
    <tableColumn id="16" xr3:uid="{A93834A6-F5A7-4B87-BA38-C7B44E3A88C6}" name="Nota Total 2" dataDxfId="13">
      <calculatedColumnFormula>+Tabla26[[#This Row],[Nota Total ]]+Tabla26[[#This Row],[Nota Unidades]]</calculatedColumn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8BC38A5-087B-4618-BDCC-BB284051C129}" name="Tabla3" displayName="Tabla3" ref="A2:H67" totalsRowShown="0" headerRowDxfId="11" headerRowBorderDxfId="10" tableBorderDxfId="9" totalsRowBorderDxfId="8" headerRowCellStyle="%">
  <autoFilter ref="A2:H67" xr:uid="{38BC38A5-087B-4618-BDCC-BB284051C129}"/>
  <sortState xmlns:xlrd2="http://schemas.microsoft.com/office/spreadsheetml/2017/richdata2" ref="A3:H67">
    <sortCondition ref="A2:A67"/>
  </sortState>
  <tableColumns count="8">
    <tableColumn id="1" xr3:uid="{2A1597B5-7DA7-4E9A-80AB-B87551E9D215}" name="N° Oferta" dataDxfId="7"/>
    <tableColumn id="2" xr3:uid="{811669F8-0BB3-41C9-9743-47672B46E309}" name="Nombre Oferente" dataDxfId="6">
      <calculatedColumnFormula>VLOOKUP(A3,Tabla1[#All],2)</calculatedColumnFormula>
    </tableColumn>
    <tableColumn id="8" xr3:uid="{8D9CDEA5-0BFB-4F8A-97BC-0A94AA187004}" name="Inspector" dataDxfId="5"/>
    <tableColumn id="3" xr3:uid="{85039819-988D-46C3-ADD8-2F344BD8D3F1}" name="Placa 1" dataDxfId="4">
      <calculatedColumnFormula>VLOOKUP(A3,Tabla1[#All],156)</calculatedColumnFormula>
    </tableColumn>
    <tableColumn id="4" xr3:uid="{66B1316D-A667-4168-B370-FBCA94B11A56}" name="Tipo de Vehículo " dataDxfId="3">
      <calculatedColumnFormula>VLOOKUP(A3,Tabla1[#All],157)</calculatedColumnFormula>
    </tableColumn>
    <tableColumn id="5" xr3:uid="{7D595935-0D41-4306-B201-467DBD36BCE5}" name="Año" dataDxfId="2">
      <calculatedColumnFormula>VLOOKUP(A3,Tabla1[#All],158)</calculatedColumnFormula>
    </tableColumn>
    <tableColumn id="6" xr3:uid="{2AA643FF-FE31-4D22-AE8D-145AC6910EF4}" name="DIF" dataDxfId="1">
      <calculatedColumnFormula>2023-Tabla3[[#This Row],[Año]]</calculatedColumnFormula>
    </tableColumn>
    <tableColumn id="18" xr3:uid="{F2590040-07DE-4416-B3EE-BF162261D6EA}" name="NOTA FINAL 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2" dT="2022-12-22T21:15:01.37" personId="{78240A97-625C-4C5A-A3CE-52B068C988CF}" id="{562B2785-B2CC-45CD-A3BB-9BB67DDFBBF9}">
    <text>Esto lo llena Samantha</text>
  </threadedComment>
  <threadedComment ref="G14" dT="2022-12-22T18:32:09.76" personId="{78240A97-625C-4C5A-A3CE-52B068C988CF}" id="{024FAEA4-B78F-4859-9B2F-34B74F1D765D}">
    <text>DIRECCIÓN DEL PROVEEDOR.</text>
  </threadedComment>
  <threadedComment ref="AL14" dT="2022-12-22T18:28:35.71" personId="{78240A97-625C-4C5A-A3CE-52B068C988CF}" id="{353D2FB1-3D7D-4AA7-AA57-5E17758FC3D5}">
    <text>ZONA A LA CUAL SE ASIGNA</text>
  </threadedComment>
  <threadedComment ref="AN14" dT="2022-12-22T21:17:29.74" personId="{78240A97-625C-4C5A-A3CE-52B068C988CF}" id="{CCCBC760-058D-4B86-80A3-557121C20875}">
    <text>Indicar los años de experiencia</text>
  </threadedComment>
  <threadedComment ref="AO14" dT="2022-12-22T21:17:06.95" personId="{78240A97-625C-4C5A-A3CE-52B068C988CF}" id="{152A0CF5-BD01-47A5-A82D-3D2546425D79}">
    <text>Anexo 2</text>
  </threadedComment>
  <threadedComment ref="AO14" dT="2022-12-22T21:17:42.83" personId="{78240A97-625C-4C5A-A3CE-52B068C988CF}" id="{2808ECAF-E2A3-4279-8900-5E50E9877458}" parentId="{152A0CF5-BD01-47A5-A82D-3D2546425D79}">
    <text>Indicar los años de experiencia</text>
  </threadedComment>
  <threadedComment ref="AR14" dT="2022-12-22T21:21:44.13" personId="{78240A97-625C-4C5A-A3CE-52B068C988CF}" id="{1D063495-A548-4DC7-83E5-BFBF05D91245}">
    <text>Indicar ( 6to, 9no, 11mo)</text>
  </threadedComment>
  <threadedComment ref="AS14" dT="2022-12-22T21:22:29.36" personId="{78240A97-625C-4C5A-A3CE-52B068C988CF}" id="{C7BEC287-9D9E-40FD-BF3E-2A3AD9331A5A}">
    <text>SI/NO</text>
  </threadedComment>
  <threadedComment ref="AT14" dT="2022-12-22T21:22:34.81" personId="{78240A97-625C-4C5A-A3CE-52B068C988CF}" id="{33CB64FC-3399-455B-8171-BC2D595699AF}">
    <text>SI/NO</text>
  </threadedComment>
  <threadedComment ref="AU14" dT="2022-12-22T21:22:39.81" personId="{78240A97-625C-4C5A-A3CE-52B068C988CF}" id="{A5E80AFE-A59A-429D-8FCD-2AC66821E36F}">
    <text>SI/NO</text>
  </threadedComment>
  <threadedComment ref="T15" dT="2023-01-17T14:57:54.69" personId="{B2CABB0E-C711-4D21-9E64-F352E22B38AA}" id="{41C9D320-5A06-4556-A176-6ABF92C762B6}">
    <text>A nombre de Luz Marina Gómez Bogantes</text>
  </threadedComment>
  <threadedComment ref="FF20" dT="2022-12-23T16:27:49.13" personId="{A7625749-F315-45B0-A867-847AD8EA98B3}" id="{5DD353C3-989F-4E72-8DAB-5F8BA274FDC5}">
    <text xml:space="preserve">APORTA CARTA DE VENTA, LA MISMA AUN NO CUENTA CON RTV POR LO QUE NO HA SIDO INSCRITA, SEGUN MOPT PUEDEN CIRCULAR ASÍ 3 MESES
</text>
  </threadedComment>
  <threadedComment ref="T23" dT="2023-01-17T16:29:45.84" personId="{B2CABB0E-C711-4D21-9E64-F352E22B38AA}" id="{9BC95002-C379-4CEE-BF43-69FE93709AC2}">
    <text>A nombre de Cristian Gerardo Orozco Rodríguez</text>
  </threadedComment>
  <threadedComment ref="CD23" dT="2022-12-26T18:04:05.60" personId="{78240A97-625C-4C5A-A3CE-52B068C988CF}" id="{2E530B4F-B4E4-4ADA-AD16-26138F0B7F53}">
    <text>Se incluyó en todas la zonas ofertadas, sin embargo, se agregó solo en Belén.</text>
  </threadedComment>
  <threadedComment ref="GO23" dT="2023-01-25T16:47:03.48" personId="{B2CABB0E-C711-4D21-9E64-F352E22B38AA}" id="{92C0254B-9565-47EB-AC51-EC0121705C14}">
    <text xml:space="preserve">No dejar usar la unidad hasta que esten los documentos </text>
  </threadedComment>
  <threadedComment ref="CR24" dT="2022-12-23T19:33:37.15" personId="{A7625749-F315-45B0-A867-847AD8EA98B3}" id="{8263CD69-C980-4EBC-AF8E-180C45FE1DBB}">
    <text>NUMERO ACTUALIZADO RECIENTE MENTE POR PROBLEMA CON LA LINEA, EL DEL ANEXO YA NO ESTA DISPONIBLE</text>
  </threadedComment>
  <threadedComment ref="FH24" dT="2022-12-23T18:15:08.28" personId="{A7625749-F315-45B0-A867-847AD8EA98B3}" id="{C0FA7EE5-1C1C-4E1C-AF14-515DB06965BA}">
    <text>SE NOTIFICA, PERO LA MISMA AL SER 2022 TIENE TIEMPO DE GRACIA POR LA ENTRADA DE DEKRA SEGUN DECRETO DEL MOPT</text>
  </threadedComment>
  <threadedComment ref="FC26" dT="2022-12-26T15:34:24.33" personId="{A7625749-F315-45B0-A867-847AD8EA98B3}" id="{CED21ACB-0B88-4C9D-AF43-3F98DB0E303A}">
    <text>MODELO 2012 AL MOMENTO DE ENVIAR LA OFERTA CUMPLE CON LOS 10 AÑOS MAXIMO.</text>
  </threadedComment>
  <threadedComment ref="BO27" dT="2023-01-17T22:32:37.99" personId="{B2CABB0E-C711-4D21-9E64-F352E22B38AA}" id="{483334A0-3764-459D-A9A8-722949E75ECE}">
    <text>No hay consorcio firmado y no se encuentra inscrito en Hacienda y moroso en la CCSS</text>
  </threadedComment>
  <threadedComment ref="BP27" dT="2022-12-26T19:49:11.19" personId="{78240A97-625C-4C5A-A3CE-52B068C988CF}" id="{3122BDCA-C714-4F99-B52B-FEDE0483365E}">
    <text>NO ENVIA INFORMACIÓN DEL INSPECTOR DE LIBERIA.</text>
  </threadedComment>
  <threadedComment ref="BQ27" dT="2023-01-20T21:41:45.31" personId="{A7625749-F315-45B0-A867-847AD8EA98B3}" id="{14C67BE1-232A-4049-9628-5E7885B8E371}">
    <text>DEVE VOLVER SUBSANAR NO VIENE FIRMADA</text>
  </threadedComment>
  <threadedComment ref="BR27" dT="2023-01-20T21:40:10.05" personId="{A7625749-F315-45B0-A867-847AD8EA98B3}" id="{CA5BC833-C5C3-42F2-AE8F-C6F62B068F2E}">
    <text>LA GUIA NO VIENE FIRMADA DEBE VOLVER A SUBSANAR</text>
  </threadedComment>
  <threadedComment ref="BV27" dT="2023-01-20T21:48:37.01" personId="{A7625749-F315-45B0-A867-847AD8EA98B3}" id="{E91B199C-C10F-45E7-89A4-E9FB1EDDDF7D}">
    <text>NO LOS ENVIA DEBE SUBSANAR NUEVAMENTE</text>
  </threadedComment>
  <threadedComment ref="CD27" dT="2023-01-17T22:35:56.29" personId="{B2CABB0E-C711-4D21-9E64-F352E22B38AA}" id="{740C1E4B-9406-4460-864D-89477BC37866}">
    <text xml:space="preserve">No hay consorcio firmado y no se encuentra inscrito en Hacienda y moroso en la CCSS
</text>
  </threadedComment>
  <threadedComment ref="CF27" dT="2023-01-20T21:55:18.16" personId="{A7625749-F315-45B0-A867-847AD8EA98B3}" id="{87228411-ED1F-4EA0-9231-B7F970C974C4}">
    <text>ESTA SIN LAS FIRMAS Y MAL LLENADA LA INFORMACIÓN</text>
  </threadedComment>
  <threadedComment ref="CG27" dT="2023-01-20T21:55:18.16" personId="{A7625749-F315-45B0-A867-847AD8EA98B3}" id="{F8D96C86-428F-490D-83FB-6203A3FBF638}">
    <text>ESTA SIN LAS FIRMAS Y MAL LLENADA LA INFORMACIÓN</text>
  </threadedComment>
  <threadedComment ref="CH27" dT="2023-01-20T21:55:18.16" personId="{A7625749-F315-45B0-A867-847AD8EA98B3}" id="{8E54F3D5-3452-4E03-BB73-8A4B233C933E}">
    <text>ESTA SIN LAS FIRMAS Y MAL LLENADA LA INFORMACIÓN</text>
  </threadedComment>
  <threadedComment ref="FK27" dT="2022-12-26T18:17:13.47" personId="{78240A97-625C-4C5A-A3CE-52B068C988CF}" id="{90F5184E-825A-414A-A7C2-4EDB668142BB}">
    <text>Segunda móvil de Upala.</text>
  </threadedComment>
  <threadedComment ref="FM28" dT="2022-12-26T21:58:18.90" personId="{A7625749-F315-45B0-A867-847AD8EA98B3}" id="{989947D1-D010-4734-8ECD-02133D9DB82D}">
    <text>AL MOMENTO DE ENVIAR LA OFERTA CUMPLE CON LOS 20 AÑOS, PARA EL 2023 YA ESTARIA FUERA DEL TIEMPO</text>
  </threadedComment>
  <threadedComment ref="BG29" dT="2023-01-20T22:29:31.97" personId="{A7625749-F315-45B0-A867-847AD8EA98B3}" id="{A2122856-5DA6-4038-BAB7-459A9F6E689B}">
    <text>ADJUNTA DECLARACIÓN JURADA DE COMPROMISO DE SOLVENTAR LOS DOCUMENTOS POR LO DE LAS VACACIONES DE LAS ESCUELAS/</text>
  </threadedComment>
  <threadedComment ref="CK29" dT="2023-01-20T22:29:31.97" personId="{A7625749-F315-45B0-A867-847AD8EA98B3}" id="{02093121-040C-4DE4-ACE2-0D8FA180F766}">
    <text>ADJUNTA DECLARACIÓN JURADA DE COMPROMISO DE SOLVENTAR LOS DOCUMENTOS POR LO DE LAS VACACIONES DE LAS ESCUELAS/</text>
  </threadedComment>
  <threadedComment ref="GB29" dT="2022-12-26T19:00:39.74" personId="{A7625749-F315-45B0-A867-847AD8EA98B3}" id="{12A00D80-011E-4B09-A51E-C1B13A81AC13}">
    <text>ES AÑO 2022 ESTA EN PRORROGA POR MOPT</text>
  </threadedComment>
  <threadedComment ref="AH30" dT="2022-12-23T16:36:42.80" personId="{B2CABB0E-C711-4D21-9E64-F352E22B38AA}" id="{A6C4E366-D83B-4246-9B0E-459203D0F434}">
    <text>Debe incluir a los inspectores a su planilla</text>
  </threadedComment>
  <threadedComment ref="FC30" dT="2022-12-26T21:41:40.06" personId="{78240A97-625C-4C5A-A3CE-52B068C988CF}" id="{ABD27198-3C48-4F56-90B5-D48E4AE20CAC}">
    <text>2002 al momento de enviar la oferta cumple con 20 años , para el 2023 estaria fuera de los años establecidos</text>
  </threadedComment>
  <threadedComment ref="FC33" dT="2022-12-26T21:41:40.06" personId="{78240A97-625C-4C5A-A3CE-52B068C988CF}" id="{06873A2F-C5C0-4DAF-ACAE-9CD3DFE45BDD}">
    <text>2002 al momento de enviar la oferta cumple con 20 años , para el 2023 estaria fuera de los años establecidos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51" dT="2023-01-25T20:25:29.83" personId="{B2CABB0E-C711-4D21-9E64-F352E22B38AA}" id="{A2FD50D5-479F-4D83-9B34-7B3EA358A96A}">
    <text>Ver con lorenzo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wilson171190@gmail.com" TargetMode="External"/><Relationship Id="rId21" Type="http://schemas.openxmlformats.org/officeDocument/2006/relationships/hyperlink" Target="mailto:alerojasal10@gmail.com" TargetMode="External"/><Relationship Id="rId42" Type="http://schemas.openxmlformats.org/officeDocument/2006/relationships/hyperlink" Target="mailto:geraf58@gmail.com" TargetMode="External"/><Relationship Id="rId47" Type="http://schemas.openxmlformats.org/officeDocument/2006/relationships/hyperlink" Target="mailto:j.ande@hotmail.com" TargetMode="External"/><Relationship Id="rId63" Type="http://schemas.openxmlformats.org/officeDocument/2006/relationships/hyperlink" Target="mailto:patojrv7@hotmail.com" TargetMode="External"/><Relationship Id="rId68" Type="http://schemas.openxmlformats.org/officeDocument/2006/relationships/hyperlink" Target="mailto:ledainspectora@gmail.com" TargetMode="External"/><Relationship Id="rId16" Type="http://schemas.openxmlformats.org/officeDocument/2006/relationships/hyperlink" Target="mailto:epacheco07@hotmail.com" TargetMode="External"/><Relationship Id="rId11" Type="http://schemas.openxmlformats.org/officeDocument/2006/relationships/hyperlink" Target="mailto:arayapablo97@gmail.com" TargetMode="External"/><Relationship Id="rId32" Type="http://schemas.openxmlformats.org/officeDocument/2006/relationships/hyperlink" Target="mailto:jordan.gonzaleznewprofile2@outlook.com" TargetMode="External"/><Relationship Id="rId37" Type="http://schemas.openxmlformats.org/officeDocument/2006/relationships/hyperlink" Target="mailto:kekoluioro@gmail.com" TargetMode="External"/><Relationship Id="rId53" Type="http://schemas.openxmlformats.org/officeDocument/2006/relationships/hyperlink" Target="mailto:asequeiran@gmail.com" TargetMode="External"/><Relationship Id="rId58" Type="http://schemas.openxmlformats.org/officeDocument/2006/relationships/hyperlink" Target="mailto:arayapablo97@gmail.com" TargetMode="External"/><Relationship Id="rId74" Type="http://schemas.openxmlformats.org/officeDocument/2006/relationships/hyperlink" Target="mailto:e.carmen.e@gmail.com" TargetMode="External"/><Relationship Id="rId79" Type="http://schemas.openxmlformats.org/officeDocument/2006/relationships/drawing" Target="../drawings/drawing1.xml"/><Relationship Id="rId5" Type="http://schemas.openxmlformats.org/officeDocument/2006/relationships/hyperlink" Target="mailto:dinierinspector@gmail.com" TargetMode="External"/><Relationship Id="rId61" Type="http://schemas.openxmlformats.org/officeDocument/2006/relationships/hyperlink" Target="mailto:mararisal@hotmail.com" TargetMode="External"/><Relationship Id="rId82" Type="http://schemas.openxmlformats.org/officeDocument/2006/relationships/comments" Target="../comments1.xml"/><Relationship Id="rId19" Type="http://schemas.openxmlformats.org/officeDocument/2006/relationships/hyperlink" Target="mailto:mararisal@hotmail.com" TargetMode="External"/><Relationship Id="rId14" Type="http://schemas.openxmlformats.org/officeDocument/2006/relationships/hyperlink" Target="mailto:gerardosaborio@hotmail.com" TargetMode="External"/><Relationship Id="rId22" Type="http://schemas.openxmlformats.org/officeDocument/2006/relationships/hyperlink" Target="mailto:luisguillermo9009@gmail.com" TargetMode="External"/><Relationship Id="rId27" Type="http://schemas.openxmlformats.org/officeDocument/2006/relationships/hyperlink" Target="mailto:jtgma@hotmail.com" TargetMode="External"/><Relationship Id="rId30" Type="http://schemas.openxmlformats.org/officeDocument/2006/relationships/hyperlink" Target="mailto:patojrv7@hotmail.com" TargetMode="External"/><Relationship Id="rId35" Type="http://schemas.openxmlformats.org/officeDocument/2006/relationships/hyperlink" Target="mailto:alexandermolina77@gmail.com" TargetMode="External"/><Relationship Id="rId43" Type="http://schemas.openxmlformats.org/officeDocument/2006/relationships/hyperlink" Target="mailto:nachodiaz1979@hotmail.com" TargetMode="External"/><Relationship Id="rId48" Type="http://schemas.openxmlformats.org/officeDocument/2006/relationships/hyperlink" Target="mailto:bryvalmej16@gmail.com" TargetMode="External"/><Relationship Id="rId56" Type="http://schemas.openxmlformats.org/officeDocument/2006/relationships/hyperlink" Target="mailto:ledainspectora@gmail.com" TargetMode="External"/><Relationship Id="rId64" Type="http://schemas.openxmlformats.org/officeDocument/2006/relationships/hyperlink" Target="mailto:kekoluioro@gmail.com" TargetMode="External"/><Relationship Id="rId69" Type="http://schemas.openxmlformats.org/officeDocument/2006/relationships/hyperlink" Target="mailto:gustavoseguraarias@yahoo.com" TargetMode="External"/><Relationship Id="rId77" Type="http://schemas.openxmlformats.org/officeDocument/2006/relationships/hyperlink" Target="mailto:gomezcoreah@gmail.com" TargetMode="External"/><Relationship Id="rId8" Type="http://schemas.openxmlformats.org/officeDocument/2006/relationships/hyperlink" Target="mailto:leonardovargass30@outlook.com" TargetMode="External"/><Relationship Id="rId51" Type="http://schemas.openxmlformats.org/officeDocument/2006/relationships/hyperlink" Target="mailto:mainoranchia@gmail.com" TargetMode="External"/><Relationship Id="rId72" Type="http://schemas.openxmlformats.org/officeDocument/2006/relationships/hyperlink" Target="mailto:castroalonso625@gmail.com" TargetMode="External"/><Relationship Id="rId80" Type="http://schemas.openxmlformats.org/officeDocument/2006/relationships/vmlDrawing" Target="../drawings/vmlDrawing1.vml"/><Relationship Id="rId3" Type="http://schemas.openxmlformats.org/officeDocument/2006/relationships/hyperlink" Target="mailto:luiz.zp@hotmail.com" TargetMode="External"/><Relationship Id="rId12" Type="http://schemas.openxmlformats.org/officeDocument/2006/relationships/hyperlink" Target="mailto:servicioslapanpa@gmail.com" TargetMode="External"/><Relationship Id="rId17" Type="http://schemas.openxmlformats.org/officeDocument/2006/relationships/hyperlink" Target="mailto:mario.rojas196548@gmail.com" TargetMode="External"/><Relationship Id="rId25" Type="http://schemas.openxmlformats.org/officeDocument/2006/relationships/hyperlink" Target="mailto:raziel506@proton.me" TargetMode="External"/><Relationship Id="rId33" Type="http://schemas.openxmlformats.org/officeDocument/2006/relationships/hyperlink" Target="mailto:alanamendezcerdas@hotmail.com" TargetMode="External"/><Relationship Id="rId38" Type="http://schemas.openxmlformats.org/officeDocument/2006/relationships/hyperlink" Target="mailto:jeffreyrojas69@gmail.com" TargetMode="External"/><Relationship Id="rId46" Type="http://schemas.openxmlformats.org/officeDocument/2006/relationships/hyperlink" Target="mailto:gustavoseguraarias@yahoo.com" TargetMode="External"/><Relationship Id="rId59" Type="http://schemas.openxmlformats.org/officeDocument/2006/relationships/hyperlink" Target="mailto:edu_vargas08@hotmail.com" TargetMode="External"/><Relationship Id="rId67" Type="http://schemas.openxmlformats.org/officeDocument/2006/relationships/hyperlink" Target="mailto:alexandermolina77@gmail.com" TargetMode="External"/><Relationship Id="rId20" Type="http://schemas.openxmlformats.org/officeDocument/2006/relationships/hyperlink" Target="mailto:acarmona8086@gmail.com" TargetMode="External"/><Relationship Id="rId41" Type="http://schemas.openxmlformats.org/officeDocument/2006/relationships/hyperlink" Target="mailto:randallarias60@gmail.com" TargetMode="External"/><Relationship Id="rId54" Type="http://schemas.openxmlformats.org/officeDocument/2006/relationships/hyperlink" Target="mailto:f61inspector@gmail.com" TargetMode="External"/><Relationship Id="rId62" Type="http://schemas.openxmlformats.org/officeDocument/2006/relationships/hyperlink" Target="mailto:epacheco07@hotmail.com" TargetMode="External"/><Relationship Id="rId70" Type="http://schemas.openxmlformats.org/officeDocument/2006/relationships/hyperlink" Target="mailto:asequeiran@gmail.com" TargetMode="External"/><Relationship Id="rId75" Type="http://schemas.openxmlformats.org/officeDocument/2006/relationships/hyperlink" Target="mailto:felipecerdas@outlook.com" TargetMode="External"/><Relationship Id="rId83" Type="http://schemas.microsoft.com/office/2017/10/relationships/threadedComment" Target="../threadedComments/threadedComment1.xml"/><Relationship Id="rId1" Type="http://schemas.openxmlformats.org/officeDocument/2006/relationships/hyperlink" Target="mailto:lel_14@hotmail.com" TargetMode="External"/><Relationship Id="rId6" Type="http://schemas.openxmlformats.org/officeDocument/2006/relationships/hyperlink" Target="mailto:kzapata117@gmail.com" TargetMode="External"/><Relationship Id="rId15" Type="http://schemas.openxmlformats.org/officeDocument/2006/relationships/hyperlink" Target="mailto:chuzvu@hotmail.com" TargetMode="External"/><Relationship Id="rId23" Type="http://schemas.openxmlformats.org/officeDocument/2006/relationships/hyperlink" Target="mailto:derrick-05@hotmail.com" TargetMode="External"/><Relationship Id="rId28" Type="http://schemas.openxmlformats.org/officeDocument/2006/relationships/hyperlink" Target="mailto:albertocch@gmail.com" TargetMode="External"/><Relationship Id="rId36" Type="http://schemas.openxmlformats.org/officeDocument/2006/relationships/hyperlink" Target="mailto:keyugal159@gmail.com" TargetMode="External"/><Relationship Id="rId49" Type="http://schemas.openxmlformats.org/officeDocument/2006/relationships/hyperlink" Target="mailto:zana4@hotmail.es" TargetMode="External"/><Relationship Id="rId57" Type="http://schemas.openxmlformats.org/officeDocument/2006/relationships/hyperlink" Target="mailto:luiz.zp@hotmail.com" TargetMode="External"/><Relationship Id="rId10" Type="http://schemas.openxmlformats.org/officeDocument/2006/relationships/hyperlink" Target="mailto:edu_vargas08@hotmail.com" TargetMode="External"/><Relationship Id="rId31" Type="http://schemas.openxmlformats.org/officeDocument/2006/relationships/hyperlink" Target="mailto:Camote1412@gmail.com," TargetMode="External"/><Relationship Id="rId44" Type="http://schemas.openxmlformats.org/officeDocument/2006/relationships/hyperlink" Target="mailto:f65inspector@gmail.com" TargetMode="External"/><Relationship Id="rId52" Type="http://schemas.openxmlformats.org/officeDocument/2006/relationships/hyperlink" Target="mailto:jerrycampos24@gmail.com" TargetMode="External"/><Relationship Id="rId60" Type="http://schemas.openxmlformats.org/officeDocument/2006/relationships/hyperlink" Target="mailto:servicioslapanpa@gmail.com" TargetMode="External"/><Relationship Id="rId65" Type="http://schemas.openxmlformats.org/officeDocument/2006/relationships/hyperlink" Target="mailto:sanders-66@hotmail.com" TargetMode="External"/><Relationship Id="rId73" Type="http://schemas.openxmlformats.org/officeDocument/2006/relationships/hyperlink" Target="mailto:geraf58@gmail.com" TargetMode="External"/><Relationship Id="rId78" Type="http://schemas.openxmlformats.org/officeDocument/2006/relationships/printerSettings" Target="../printerSettings/printerSettings1.bin"/><Relationship Id="rId81" Type="http://schemas.openxmlformats.org/officeDocument/2006/relationships/table" Target="../tables/table1.xml"/><Relationship Id="rId4" Type="http://schemas.openxmlformats.org/officeDocument/2006/relationships/hyperlink" Target="mailto:poveda1894@gmail.com" TargetMode="External"/><Relationship Id="rId9" Type="http://schemas.openxmlformats.org/officeDocument/2006/relationships/hyperlink" Target="mailto:jrsegura10@hotmail.com" TargetMode="External"/><Relationship Id="rId13" Type="http://schemas.openxmlformats.org/officeDocument/2006/relationships/hyperlink" Target="mailto:castroalonso625@gmail.com" TargetMode="External"/><Relationship Id="rId18" Type="http://schemas.openxmlformats.org/officeDocument/2006/relationships/hyperlink" Target="mailto:erickr0420@gmail.com" TargetMode="External"/><Relationship Id="rId39" Type="http://schemas.openxmlformats.org/officeDocument/2006/relationships/hyperlink" Target="mailto:jayarroyo68@gmail.com" TargetMode="External"/><Relationship Id="rId34" Type="http://schemas.openxmlformats.org/officeDocument/2006/relationships/hyperlink" Target="mailto:darias2786@gmail.com" TargetMode="External"/><Relationship Id="rId50" Type="http://schemas.openxmlformats.org/officeDocument/2006/relationships/hyperlink" Target="mailto:ehernandez04@gmail.com" TargetMode="External"/><Relationship Id="rId55" Type="http://schemas.openxmlformats.org/officeDocument/2006/relationships/hyperlink" Target="mailto:joseinspector@gmail.com" TargetMode="External"/><Relationship Id="rId76" Type="http://schemas.openxmlformats.org/officeDocument/2006/relationships/hyperlink" Target="mailto:hgomezmontero@gmail.com" TargetMode="External"/><Relationship Id="rId7" Type="http://schemas.openxmlformats.org/officeDocument/2006/relationships/hyperlink" Target="mailto:gox18@hotmail.com" TargetMode="External"/><Relationship Id="rId71" Type="http://schemas.openxmlformats.org/officeDocument/2006/relationships/hyperlink" Target="mailto:juvelmayorga@gmail.com" TargetMode="External"/><Relationship Id="rId2" Type="http://schemas.openxmlformats.org/officeDocument/2006/relationships/hyperlink" Target="mailto:a.duran1986@gmail.com" TargetMode="External"/><Relationship Id="rId29" Type="http://schemas.openxmlformats.org/officeDocument/2006/relationships/hyperlink" Target="mailto:guillermo.barquero@outlook.com" TargetMode="External"/><Relationship Id="rId24" Type="http://schemas.openxmlformats.org/officeDocument/2006/relationships/hyperlink" Target="mailto:gsalazar.delta@gmail.com" TargetMode="External"/><Relationship Id="rId40" Type="http://schemas.openxmlformats.org/officeDocument/2006/relationships/hyperlink" Target="mailto:maikelrodriguez1993@gmail.com" TargetMode="External"/><Relationship Id="rId45" Type="http://schemas.openxmlformats.org/officeDocument/2006/relationships/hyperlink" Target="mailto:monteromaikol24@gmail.com" TargetMode="External"/><Relationship Id="rId66" Type="http://schemas.openxmlformats.org/officeDocument/2006/relationships/hyperlink" Target="mailto:alanamendezcerdas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IM33"/>
  <sheetViews>
    <sheetView showGridLines="0" topLeftCell="A21" zoomScale="80" zoomScaleNormal="80" zoomScaleSheetLayoutView="25" workbookViewId="0">
      <selection activeCell="C23" sqref="C23"/>
    </sheetView>
  </sheetViews>
  <sheetFormatPr baseColWidth="10" defaultColWidth="11.453125" defaultRowHeight="14.5" outlineLevelCol="1" x14ac:dyDescent="0.35"/>
  <cols>
    <col min="1" max="1" width="1.54296875" style="1" customWidth="1"/>
    <col min="2" max="2" width="14.08984375" style="3" customWidth="1"/>
    <col min="3" max="3" width="52.08984375" style="1" bestFit="1" customWidth="1"/>
    <col min="4" max="4" width="25.90625" style="13" customWidth="1" outlineLevel="1"/>
    <col min="5" max="5" width="18.90625" style="13" customWidth="1"/>
    <col min="6" max="6" width="28.90625" style="13" customWidth="1"/>
    <col min="7" max="7" width="26.90625" style="13" customWidth="1"/>
    <col min="8" max="8" width="30.54296875" style="1" customWidth="1"/>
    <col min="9" max="9" width="22.08984375" style="1" customWidth="1" outlineLevel="1" collapsed="1"/>
    <col min="10" max="10" width="21.90625" style="1" customWidth="1" outlineLevel="1"/>
    <col min="11" max="11" width="25.453125" style="1" customWidth="1" outlineLevel="1"/>
    <col min="12" max="13" width="23.08984375" style="1" customWidth="1" outlineLevel="1"/>
    <col min="14" max="14" width="25.54296875" style="1" customWidth="1" outlineLevel="1"/>
    <col min="15" max="19" width="27" style="1" customWidth="1" outlineLevel="1"/>
    <col min="20" max="20" width="26.08984375" style="1" customWidth="1" outlineLevel="1"/>
    <col min="21" max="21" width="23.453125" style="1" customWidth="1" outlineLevel="1"/>
    <col min="22" max="22" width="36.54296875" style="1" customWidth="1"/>
    <col min="23" max="23" width="33.08984375" style="3" customWidth="1" outlineLevel="1"/>
    <col min="24" max="24" width="18" style="3" customWidth="1" outlineLevel="1"/>
    <col min="25" max="25" width="28.08984375" style="13" customWidth="1" outlineLevel="1"/>
    <col min="26" max="26" width="17.90625" style="3" customWidth="1" outlineLevel="1"/>
    <col min="27" max="27" width="21.90625" style="3" customWidth="1" outlineLevel="1"/>
    <col min="28" max="28" width="41.08984375" style="3" customWidth="1" outlineLevel="1"/>
    <col min="29" max="29" width="17.90625" style="3" customWidth="1" outlineLevel="1"/>
    <col min="30" max="30" width="33.90625" style="3" customWidth="1" outlineLevel="1"/>
    <col min="31" max="31" width="21.08984375" style="3" customWidth="1" outlineLevel="1"/>
    <col min="32" max="33" width="20.453125" style="3" customWidth="1"/>
    <col min="34" max="34" width="15.54296875" style="3" customWidth="1"/>
    <col min="35" max="35" width="20.453125" style="3" customWidth="1" outlineLevel="1"/>
    <col min="36" max="36" width="14.08984375" style="3" customWidth="1" outlineLevel="1"/>
    <col min="37" max="37" width="39.08984375" style="13" customWidth="1" outlineLevel="1"/>
    <col min="38" max="38" width="24.453125" style="13" customWidth="1" outlineLevel="1"/>
    <col min="39" max="39" width="19.90625" style="3" customWidth="1" outlineLevel="1"/>
    <col min="40" max="40" width="21" style="3" customWidth="1" outlineLevel="1"/>
    <col min="41" max="41" width="21.08984375" style="3" customWidth="1" outlineLevel="1"/>
    <col min="42" max="42" width="13.453125" style="3" customWidth="1" outlineLevel="1"/>
    <col min="43" max="43" width="16.90625" style="3" customWidth="1" outlineLevel="1"/>
    <col min="44" max="44" width="16.08984375" style="3" customWidth="1" outlineLevel="1"/>
    <col min="45" max="45" width="14.08984375" style="3" customWidth="1" outlineLevel="1"/>
    <col min="46" max="46" width="13.453125" style="3" customWidth="1" outlineLevel="1"/>
    <col min="47" max="47" width="13.08984375" style="3" customWidth="1" outlineLevel="1"/>
    <col min="48" max="48" width="11.90625" style="3" customWidth="1" outlineLevel="1"/>
    <col min="49" max="49" width="20.08984375" style="3" customWidth="1" outlineLevel="1"/>
    <col min="50" max="51" width="24.90625" style="13" customWidth="1" outlineLevel="1"/>
    <col min="52" max="52" width="43" style="13" customWidth="1" outlineLevel="1"/>
    <col min="53" max="53" width="25.90625" style="1" customWidth="1" outlineLevel="1"/>
    <col min="54" max="55" width="19.90625" style="3" customWidth="1" outlineLevel="1"/>
    <col min="56" max="56" width="17.08984375" style="3" customWidth="1" outlineLevel="1"/>
    <col min="57" max="57" width="18.08984375" style="3" customWidth="1" outlineLevel="1"/>
    <col min="58" max="58" width="17.08984375" style="3" customWidth="1" outlineLevel="1"/>
    <col min="59" max="59" width="19.08984375" style="3" customWidth="1" outlineLevel="1"/>
    <col min="60" max="60" width="13.90625" style="3" customWidth="1" outlineLevel="1"/>
    <col min="61" max="61" width="12.90625" style="3" customWidth="1" outlineLevel="1"/>
    <col min="62" max="62" width="14.08984375" style="3" customWidth="1" outlineLevel="1"/>
    <col min="63" max="63" width="17.08984375" style="3" customWidth="1" outlineLevel="1"/>
    <col min="64" max="64" width="20.08984375" style="1" customWidth="1" outlineLevel="1"/>
    <col min="65" max="65" width="40.54296875" style="13" customWidth="1" outlineLevel="1"/>
    <col min="66" max="66" width="17.08984375" style="13" customWidth="1" outlineLevel="1"/>
    <col min="67" max="67" width="36.90625" style="1" customWidth="1" outlineLevel="1"/>
    <col min="68" max="68" width="20.54296875" style="1" customWidth="1" outlineLevel="1"/>
    <col min="69" max="78" width="17.08984375" style="3" customWidth="1" outlineLevel="1"/>
    <col min="79" max="79" width="21" style="1" customWidth="1" outlineLevel="1"/>
    <col min="80" max="80" width="26.90625" style="1" customWidth="1" outlineLevel="1"/>
    <col min="81" max="81" width="17.08984375" style="3" customWidth="1" outlineLevel="1"/>
    <col min="82" max="82" width="33.08984375" style="1" customWidth="1" outlineLevel="1"/>
    <col min="83" max="83" width="19.90625" style="1" customWidth="1" outlineLevel="1"/>
    <col min="84" max="94" width="17.08984375" style="3" customWidth="1" outlineLevel="1"/>
    <col min="95" max="95" width="30.453125" style="13" customWidth="1" outlineLevel="1"/>
    <col min="96" max="96" width="17.08984375" style="3" customWidth="1" outlineLevel="1"/>
    <col min="97" max="97" width="33" style="13" customWidth="1" outlineLevel="1"/>
    <col min="98" max="98" width="17.08984375" style="1" customWidth="1" outlineLevel="1"/>
    <col min="99" max="109" width="17.08984375" style="3" customWidth="1" outlineLevel="1"/>
    <col min="110" max="110" width="23.90625" style="1" customWidth="1" outlineLevel="1"/>
    <col min="111" max="111" width="17.08984375" style="3" customWidth="1" outlineLevel="1"/>
    <col min="112" max="112" width="31.08984375" style="1" customWidth="1" outlineLevel="1"/>
    <col min="113" max="113" width="23.54296875" style="1" customWidth="1" outlineLevel="1"/>
    <col min="114" max="123" width="17.08984375" style="3" customWidth="1" outlineLevel="1"/>
    <col min="124" max="125" width="17.08984375" style="1" customWidth="1" outlineLevel="1"/>
    <col min="126" max="126" width="17.08984375" style="3" customWidth="1" outlineLevel="1"/>
    <col min="127" max="127" width="32.453125" style="1" customWidth="1" outlineLevel="1"/>
    <col min="128" max="128" width="23" style="1" customWidth="1" outlineLevel="1"/>
    <col min="129" max="138" width="17.08984375" style="3" customWidth="1" outlineLevel="1"/>
    <col min="139" max="139" width="17.08984375" style="13" customWidth="1" outlineLevel="1"/>
    <col min="140" max="141" width="17.08984375" style="1" customWidth="1" outlineLevel="1"/>
    <col min="142" max="142" width="36.453125" style="1" customWidth="1" outlineLevel="1"/>
    <col min="143" max="143" width="17.08984375" style="1" customWidth="1" outlineLevel="1"/>
    <col min="144" max="154" width="17.08984375" style="3" customWidth="1" outlineLevel="1"/>
    <col min="155" max="155" width="17.08984375" style="1" customWidth="1" outlineLevel="1"/>
    <col min="156" max="156" width="17.08984375" style="3" customWidth="1" outlineLevel="1"/>
    <col min="157" max="158" width="17.08984375" style="1" customWidth="1" outlineLevel="1"/>
    <col min="159" max="165" width="17.08984375" style="3" customWidth="1" outlineLevel="1"/>
    <col min="166" max="166" width="20.08984375" style="1" customWidth="1" outlineLevel="1"/>
    <col min="167" max="167" width="15.453125" style="1" customWidth="1" outlineLevel="1"/>
    <col min="168" max="168" width="25.453125" style="1" customWidth="1" outlineLevel="1"/>
    <col min="169" max="171" width="17.90625" style="1" customWidth="1" outlineLevel="1"/>
    <col min="172" max="172" width="18" style="1" customWidth="1" outlineLevel="1"/>
    <col min="173" max="173" width="17.90625" style="1" customWidth="1" outlineLevel="1"/>
    <col min="174" max="175" width="15.08984375" style="1" customWidth="1" outlineLevel="1"/>
    <col min="176" max="246" width="18.08984375" style="1" customWidth="1" outlineLevel="1"/>
    <col min="248" max="16384" width="11.453125" style="1"/>
  </cols>
  <sheetData>
    <row r="1" spans="2:237" s="1" customFormat="1" ht="16.5" hidden="1" customHeight="1" x14ac:dyDescent="0.3">
      <c r="B1" s="3"/>
      <c r="D1" s="13"/>
      <c r="E1" s="13"/>
      <c r="F1" s="13"/>
      <c r="G1" s="13"/>
      <c r="X1" s="3"/>
      <c r="Y1" s="1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13"/>
      <c r="AL1" s="1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3"/>
      <c r="AY1" s="13"/>
      <c r="AZ1" s="13"/>
      <c r="BB1" s="3"/>
      <c r="BC1" s="3"/>
      <c r="BD1" s="3"/>
      <c r="BE1" s="3"/>
      <c r="BF1" s="3"/>
      <c r="BG1" s="3"/>
      <c r="BH1" s="3"/>
      <c r="BI1" s="3"/>
      <c r="BJ1" s="3"/>
      <c r="BK1" s="3"/>
      <c r="BM1" s="13"/>
      <c r="BN1" s="13"/>
      <c r="BQ1" s="3"/>
      <c r="BR1" s="3"/>
      <c r="BS1" s="3"/>
      <c r="BT1" s="3"/>
      <c r="BU1" s="3"/>
      <c r="BV1" s="3"/>
      <c r="BW1" s="3"/>
      <c r="BX1" s="3"/>
      <c r="BY1" s="3"/>
      <c r="BZ1" s="3"/>
      <c r="CC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13"/>
      <c r="CR1" s="3"/>
      <c r="CS1" s="1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G1" s="3"/>
      <c r="DJ1" s="3"/>
      <c r="DK1" s="3"/>
      <c r="DL1" s="3"/>
      <c r="DM1" s="3"/>
      <c r="DN1" s="3"/>
      <c r="DO1" s="3"/>
      <c r="DP1" s="3"/>
      <c r="DQ1" s="3"/>
      <c r="DR1" s="3"/>
      <c r="DS1" s="3"/>
      <c r="DV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1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Z1" s="3"/>
      <c r="FC1" s="3"/>
      <c r="FD1" s="3"/>
      <c r="FE1" s="3"/>
      <c r="FF1" s="3"/>
      <c r="FG1" s="3"/>
      <c r="FH1" s="3"/>
      <c r="FI1" s="3"/>
    </row>
    <row r="2" spans="2:237" s="1" customFormat="1" ht="16.5" hidden="1" customHeight="1" x14ac:dyDescent="0.3">
      <c r="B2" s="29"/>
      <c r="C2" s="30"/>
      <c r="D2" s="134" t="s">
        <v>0</v>
      </c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  <c r="EZ2" s="135"/>
      <c r="FA2" s="135"/>
      <c r="FB2" s="135"/>
      <c r="FC2" s="135"/>
      <c r="FD2" s="135"/>
      <c r="FE2" s="135"/>
      <c r="FF2" s="135"/>
      <c r="FG2" s="135"/>
      <c r="FH2" s="135"/>
      <c r="FI2" s="135"/>
      <c r="FJ2" s="135"/>
      <c r="FK2" s="135"/>
      <c r="FL2" s="135"/>
      <c r="FM2" s="135"/>
      <c r="FN2" s="135"/>
      <c r="FO2" s="135"/>
      <c r="FP2" s="135"/>
      <c r="FQ2" s="135"/>
      <c r="FR2" s="135"/>
      <c r="FS2" s="135"/>
      <c r="FT2" s="135"/>
      <c r="FU2" s="135"/>
      <c r="FV2" s="135"/>
      <c r="FW2" s="135"/>
      <c r="FX2" s="135"/>
      <c r="FY2" s="135"/>
      <c r="FZ2" s="135"/>
      <c r="GA2" s="135"/>
      <c r="GB2" s="135"/>
      <c r="GC2" s="135"/>
      <c r="GD2" s="135"/>
      <c r="GE2" s="135"/>
      <c r="GF2" s="135"/>
      <c r="GG2" s="135"/>
      <c r="GH2" s="135"/>
      <c r="GI2" s="135"/>
      <c r="GJ2" s="135"/>
      <c r="GK2" s="135"/>
      <c r="GL2" s="135"/>
      <c r="GM2" s="135"/>
      <c r="GN2" s="135"/>
      <c r="GO2" s="135"/>
      <c r="GP2" s="135"/>
      <c r="GQ2" s="135"/>
      <c r="GR2" s="135"/>
      <c r="GS2" s="135"/>
      <c r="GT2" s="135"/>
      <c r="GU2" s="135"/>
      <c r="GV2" s="135"/>
      <c r="GW2" s="135"/>
      <c r="GX2" s="135"/>
      <c r="GY2" s="135"/>
      <c r="GZ2" s="135"/>
      <c r="HA2" s="135"/>
      <c r="HB2" s="135"/>
      <c r="HC2" s="135"/>
      <c r="HD2" s="135"/>
      <c r="HE2" s="135"/>
      <c r="HF2" s="135"/>
      <c r="HG2" s="135"/>
      <c r="HH2" s="135"/>
      <c r="HI2" s="135"/>
      <c r="HJ2" s="135"/>
      <c r="HK2" s="135"/>
      <c r="HL2" s="135"/>
      <c r="HM2" s="135"/>
      <c r="HN2" s="135"/>
      <c r="HO2" s="135"/>
      <c r="HP2" s="135"/>
      <c r="HQ2" s="135"/>
      <c r="HR2" s="135"/>
      <c r="HS2" s="135"/>
      <c r="HT2" s="135"/>
      <c r="HU2" s="135"/>
      <c r="HV2" s="135"/>
      <c r="HW2" s="135"/>
      <c r="HX2" s="135"/>
      <c r="HY2" s="135"/>
      <c r="HZ2" s="135"/>
      <c r="IA2" s="135"/>
      <c r="IB2" s="135"/>
      <c r="IC2" s="135"/>
    </row>
    <row r="3" spans="2:237" s="33" customFormat="1" ht="16.5" hidden="1" customHeight="1" x14ac:dyDescent="0.3">
      <c r="B3" s="31"/>
      <c r="C3" s="1"/>
      <c r="D3" s="136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</row>
    <row r="4" spans="2:237" s="33" customFormat="1" ht="16.5" hidden="1" customHeight="1" x14ac:dyDescent="0.3">
      <c r="B4" s="31"/>
      <c r="C4" s="1"/>
      <c r="D4" s="136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</row>
    <row r="5" spans="2:237" s="33" customFormat="1" ht="16.5" hidden="1" customHeight="1" x14ac:dyDescent="0.3">
      <c r="B5" s="34"/>
      <c r="C5" s="35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39"/>
      <c r="HB5" s="139"/>
      <c r="HC5" s="139"/>
      <c r="HD5" s="139"/>
      <c r="HE5" s="139"/>
      <c r="HF5" s="139"/>
      <c r="HG5" s="139"/>
      <c r="HH5" s="139"/>
      <c r="HI5" s="139"/>
      <c r="HJ5" s="139"/>
      <c r="HK5" s="139"/>
      <c r="HL5" s="139"/>
      <c r="HM5" s="139"/>
      <c r="HN5" s="139"/>
      <c r="HO5" s="139"/>
      <c r="HP5" s="139"/>
      <c r="HQ5" s="139"/>
      <c r="HR5" s="139"/>
      <c r="HS5" s="139"/>
      <c r="HT5" s="139"/>
      <c r="HU5" s="139"/>
      <c r="HV5" s="139"/>
      <c r="HW5" s="139"/>
      <c r="HX5" s="139"/>
      <c r="HY5" s="139"/>
      <c r="HZ5" s="139"/>
      <c r="IA5" s="139"/>
      <c r="IB5" s="139"/>
      <c r="IC5" s="139"/>
    </row>
    <row r="6" spans="2:237" s="1" customFormat="1" ht="16.5" hidden="1" customHeight="1" x14ac:dyDescent="0.3">
      <c r="B6" s="36"/>
      <c r="C6" s="3"/>
      <c r="D6" s="13"/>
      <c r="E6" s="32"/>
      <c r="F6" s="32"/>
      <c r="G6" s="32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8"/>
      <c r="X6" s="38"/>
      <c r="Y6" s="32"/>
      <c r="Z6" s="38"/>
      <c r="AA6" s="38"/>
      <c r="AB6" s="38"/>
      <c r="AC6" s="38"/>
      <c r="AD6" s="38"/>
      <c r="AE6" s="38"/>
      <c r="AF6" s="3"/>
      <c r="AG6" s="3"/>
      <c r="AH6" s="3"/>
      <c r="AI6" s="3"/>
      <c r="AJ6" s="3"/>
      <c r="AK6" s="13"/>
      <c r="AL6" s="1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13"/>
      <c r="AY6" s="13"/>
      <c r="AZ6" s="13"/>
      <c r="BB6" s="3"/>
      <c r="BC6" s="3"/>
      <c r="BD6" s="3"/>
      <c r="BE6" s="3"/>
      <c r="BF6" s="3"/>
      <c r="BG6" s="3"/>
      <c r="BH6" s="3"/>
      <c r="BI6" s="3"/>
      <c r="BJ6" s="3"/>
      <c r="BK6" s="3"/>
      <c r="BM6" s="13"/>
      <c r="BN6" s="13"/>
      <c r="BQ6" s="3"/>
      <c r="BR6" s="3"/>
      <c r="BS6" s="3"/>
      <c r="BT6" s="3"/>
      <c r="BU6" s="3"/>
      <c r="BV6" s="3"/>
      <c r="BW6" s="3"/>
      <c r="BX6" s="3"/>
      <c r="BY6" s="3"/>
      <c r="BZ6" s="3"/>
      <c r="CC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13"/>
      <c r="CR6" s="3"/>
      <c r="CS6" s="1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G6" s="3"/>
      <c r="DJ6" s="3"/>
      <c r="DK6" s="3"/>
      <c r="DL6" s="3"/>
      <c r="DM6" s="3"/>
      <c r="DN6" s="3"/>
      <c r="DO6" s="3"/>
      <c r="DP6" s="3"/>
      <c r="DQ6" s="3"/>
      <c r="DR6" s="3"/>
      <c r="DS6" s="3"/>
      <c r="DV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1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Z6" s="3"/>
      <c r="FC6" s="3"/>
      <c r="FD6" s="3"/>
      <c r="FE6" s="3"/>
      <c r="FF6" s="3"/>
      <c r="FG6" s="3"/>
      <c r="FH6" s="3"/>
      <c r="FI6" s="3"/>
    </row>
    <row r="7" spans="2:237" s="1" customFormat="1" ht="30" hidden="1" customHeight="1" x14ac:dyDescent="0.3">
      <c r="B7" s="140" t="s">
        <v>1</v>
      </c>
      <c r="C7" s="141"/>
      <c r="D7" s="142"/>
      <c r="E7" s="39"/>
      <c r="F7" s="39"/>
      <c r="G7" s="39"/>
      <c r="W7" s="3"/>
      <c r="X7" s="3"/>
      <c r="Y7" s="1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13"/>
      <c r="AL7" s="1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13"/>
      <c r="AY7" s="13"/>
      <c r="AZ7" s="13"/>
      <c r="BB7" s="3"/>
      <c r="BC7" s="3"/>
      <c r="BD7" s="3"/>
      <c r="BE7" s="3"/>
      <c r="BF7" s="3"/>
      <c r="BG7" s="3"/>
      <c r="BH7" s="3"/>
      <c r="BI7" s="3"/>
      <c r="BJ7" s="3"/>
      <c r="BK7" s="3"/>
      <c r="BM7" s="13"/>
      <c r="BN7" s="13"/>
      <c r="BQ7" s="3"/>
      <c r="BR7" s="3"/>
      <c r="BS7" s="3"/>
      <c r="BT7" s="3"/>
      <c r="BU7" s="3"/>
      <c r="BV7" s="3"/>
      <c r="BW7" s="3"/>
      <c r="BX7" s="3"/>
      <c r="BY7" s="3"/>
      <c r="BZ7" s="3"/>
      <c r="CC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13"/>
      <c r="CR7" s="3"/>
      <c r="CS7" s="1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G7" s="3"/>
      <c r="DJ7" s="3"/>
      <c r="DK7" s="3"/>
      <c r="DL7" s="3"/>
      <c r="DM7" s="3"/>
      <c r="DN7" s="3"/>
      <c r="DO7" s="3"/>
      <c r="DP7" s="3"/>
      <c r="DQ7" s="3"/>
      <c r="DR7" s="3"/>
      <c r="DS7" s="3"/>
      <c r="DV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1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Z7" s="3"/>
      <c r="FC7" s="3"/>
      <c r="FD7" s="3"/>
      <c r="FE7" s="3"/>
      <c r="FF7" s="3"/>
      <c r="FG7" s="3"/>
      <c r="FH7" s="3"/>
      <c r="FI7" s="3"/>
    </row>
    <row r="8" spans="2:237" s="1" customFormat="1" ht="30" hidden="1" customHeight="1" x14ac:dyDescent="0.3">
      <c r="B8" s="140" t="s">
        <v>2</v>
      </c>
      <c r="C8" s="141"/>
      <c r="D8" s="142"/>
      <c r="E8" s="39"/>
      <c r="F8" s="39"/>
      <c r="G8" s="39"/>
      <c r="W8" s="3"/>
      <c r="X8" s="3"/>
      <c r="Y8" s="1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13"/>
      <c r="AL8" s="1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13"/>
      <c r="AY8" s="13"/>
      <c r="AZ8" s="13"/>
      <c r="BB8" s="3"/>
      <c r="BC8" s="3"/>
      <c r="BD8" s="3"/>
      <c r="BE8" s="3"/>
      <c r="BF8" s="3"/>
      <c r="BG8" s="3"/>
      <c r="BH8" s="3"/>
      <c r="BI8" s="3"/>
      <c r="BJ8" s="3"/>
      <c r="BK8" s="3"/>
      <c r="BM8" s="13"/>
      <c r="BN8" s="13"/>
      <c r="BQ8" s="3"/>
      <c r="BR8" s="3"/>
      <c r="BS8" s="3"/>
      <c r="BT8" s="3"/>
      <c r="BU8" s="3"/>
      <c r="BV8" s="3"/>
      <c r="BW8" s="3"/>
      <c r="BX8" s="3"/>
      <c r="BY8" s="3"/>
      <c r="BZ8" s="3"/>
      <c r="CC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13"/>
      <c r="CR8" s="3"/>
      <c r="CS8" s="1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G8" s="3"/>
      <c r="DJ8" s="3"/>
      <c r="DK8" s="3"/>
      <c r="DL8" s="3"/>
      <c r="DM8" s="3"/>
      <c r="DN8" s="3"/>
      <c r="DO8" s="3"/>
      <c r="DP8" s="3"/>
      <c r="DQ8" s="3"/>
      <c r="DR8" s="3"/>
      <c r="DS8" s="3"/>
      <c r="DV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1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Z8" s="3"/>
      <c r="FC8" s="3"/>
      <c r="FD8" s="3"/>
      <c r="FE8" s="3"/>
      <c r="FF8" s="3"/>
      <c r="FG8" s="3"/>
      <c r="FH8" s="3"/>
      <c r="FI8" s="3"/>
    </row>
    <row r="9" spans="2:237" s="1" customFormat="1" ht="30" hidden="1" customHeight="1" x14ac:dyDescent="0.3">
      <c r="B9" s="140" t="s">
        <v>3</v>
      </c>
      <c r="C9" s="141"/>
      <c r="D9" s="142"/>
      <c r="E9" s="39"/>
      <c r="F9" s="39"/>
      <c r="G9" s="39"/>
      <c r="W9" s="3"/>
      <c r="X9" s="3"/>
      <c r="Y9" s="1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13"/>
      <c r="AL9" s="1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13"/>
      <c r="AY9" s="13"/>
      <c r="AZ9" s="13"/>
      <c r="BB9" s="3"/>
      <c r="BC9" s="3"/>
      <c r="BD9" s="3"/>
      <c r="BE9" s="3"/>
      <c r="BF9" s="3"/>
      <c r="BG9" s="3"/>
      <c r="BH9" s="3"/>
      <c r="BI9" s="3"/>
      <c r="BJ9" s="3"/>
      <c r="BK9" s="3"/>
      <c r="BM9" s="13"/>
      <c r="BN9" s="13"/>
      <c r="BQ9" s="3"/>
      <c r="BR9" s="3"/>
      <c r="BS9" s="3"/>
      <c r="BT9" s="3"/>
      <c r="BU9" s="3"/>
      <c r="BV9" s="3"/>
      <c r="BW9" s="3"/>
      <c r="BX9" s="3"/>
      <c r="BY9" s="3"/>
      <c r="BZ9" s="3"/>
      <c r="CC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13"/>
      <c r="CR9" s="3"/>
      <c r="CS9" s="1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G9" s="3"/>
      <c r="DJ9" s="3"/>
      <c r="DK9" s="3"/>
      <c r="DL9" s="3"/>
      <c r="DM9" s="3"/>
      <c r="DN9" s="3"/>
      <c r="DO9" s="3"/>
      <c r="DP9" s="3"/>
      <c r="DQ9" s="3"/>
      <c r="DR9" s="3"/>
      <c r="DS9" s="3"/>
      <c r="DV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1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Z9" s="3"/>
      <c r="FC9" s="3"/>
      <c r="FD9" s="3"/>
      <c r="FE9" s="3"/>
      <c r="FF9" s="3"/>
      <c r="FG9" s="3"/>
      <c r="FH9" s="3"/>
      <c r="FI9" s="3"/>
    </row>
    <row r="10" spans="2:237" s="1" customFormat="1" ht="14.9" customHeight="1" x14ac:dyDescent="0.3">
      <c r="B10" s="3"/>
      <c r="C10" s="40"/>
      <c r="D10" s="13"/>
      <c r="E10" s="39"/>
      <c r="F10" s="39"/>
      <c r="G10" s="39"/>
      <c r="W10" s="3"/>
      <c r="X10" s="3"/>
      <c r="Y10" s="1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13"/>
      <c r="AL10" s="1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13"/>
      <c r="AY10" s="13"/>
      <c r="AZ10" s="13"/>
      <c r="BB10" s="3"/>
      <c r="BC10" s="3"/>
      <c r="BD10" s="3"/>
      <c r="BE10" s="3"/>
      <c r="BF10" s="3"/>
      <c r="BG10" s="3"/>
      <c r="BH10" s="3"/>
      <c r="BI10" s="3"/>
      <c r="BJ10" s="3"/>
      <c r="BK10" s="3"/>
      <c r="BM10" s="13"/>
      <c r="BN10" s="13"/>
      <c r="BQ10" s="3"/>
      <c r="BR10" s="3"/>
      <c r="BS10" s="3"/>
      <c r="BT10" s="3"/>
      <c r="BU10" s="3"/>
      <c r="BV10" s="3"/>
      <c r="BW10" s="3"/>
      <c r="BX10" s="3"/>
      <c r="BY10" s="3"/>
      <c r="BZ10" s="3"/>
      <c r="CC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13"/>
      <c r="CR10" s="3"/>
      <c r="CS10" s="1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G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V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1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Z10" s="3"/>
      <c r="FC10" s="3"/>
      <c r="FD10" s="3"/>
      <c r="FE10" s="3"/>
      <c r="FF10" s="3"/>
      <c r="FG10" s="3"/>
      <c r="FH10" s="3"/>
      <c r="FI10" s="3"/>
    </row>
    <row r="11" spans="2:237" s="1" customFormat="1" ht="14.15" customHeight="1" x14ac:dyDescent="0.3">
      <c r="B11" s="3"/>
      <c r="C11" s="40"/>
      <c r="D11" s="13"/>
      <c r="E11" s="39"/>
      <c r="F11" s="39"/>
      <c r="G11" s="39"/>
      <c r="W11" s="3"/>
      <c r="X11" s="3"/>
      <c r="Y11" s="1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13"/>
      <c r="AL11" s="1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13"/>
      <c r="AY11" s="13"/>
      <c r="AZ11" s="13"/>
      <c r="BB11" s="3"/>
      <c r="BC11" s="3"/>
      <c r="BD11" s="3"/>
      <c r="BE11" s="3"/>
      <c r="BF11" s="3"/>
      <c r="BG11" s="3"/>
      <c r="BH11" s="3"/>
      <c r="BI11" s="3"/>
      <c r="BJ11" s="3"/>
      <c r="BK11" s="3"/>
      <c r="BM11" s="13"/>
      <c r="BN11" s="13"/>
      <c r="BQ11" s="3"/>
      <c r="BR11" s="3"/>
      <c r="BS11" s="3"/>
      <c r="BT11" s="3"/>
      <c r="BU11" s="3"/>
      <c r="BV11" s="3"/>
      <c r="BW11" s="3"/>
      <c r="BX11" s="3"/>
      <c r="BY11" s="3"/>
      <c r="BZ11" s="3"/>
      <c r="CC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13"/>
      <c r="CR11" s="3"/>
      <c r="CS11" s="1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G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V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1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Z11" s="3"/>
      <c r="FC11" s="3"/>
      <c r="FD11" s="3"/>
      <c r="FE11" s="3"/>
      <c r="FF11" s="3"/>
      <c r="FG11" s="3"/>
      <c r="FH11" s="3"/>
      <c r="FI11" s="3"/>
    </row>
    <row r="12" spans="2:237" s="1" customFormat="1" ht="36" customHeight="1" thickBot="1" x14ac:dyDescent="0.35">
      <c r="B12" s="143" t="s">
        <v>4</v>
      </c>
      <c r="C12" s="144"/>
      <c r="D12" s="144"/>
      <c r="E12" s="144"/>
      <c r="F12" s="144"/>
      <c r="G12" s="145"/>
      <c r="H12" s="146" t="s">
        <v>5</v>
      </c>
      <c r="I12" s="147"/>
      <c r="J12" s="147"/>
      <c r="K12" s="147"/>
      <c r="L12" s="147"/>
      <c r="M12" s="148"/>
      <c r="N12" s="152" t="s">
        <v>6</v>
      </c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5"/>
      <c r="AK12" s="149" t="s">
        <v>7</v>
      </c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0"/>
      <c r="HK12" s="150"/>
      <c r="HL12" s="150"/>
      <c r="HM12" s="150"/>
      <c r="HN12" s="150"/>
      <c r="HO12" s="150"/>
      <c r="HP12" s="150"/>
      <c r="HQ12" s="150"/>
      <c r="HR12" s="150"/>
      <c r="HS12" s="150"/>
      <c r="HT12" s="150"/>
      <c r="HU12" s="150"/>
      <c r="HV12" s="150"/>
      <c r="HW12" s="150"/>
      <c r="HX12" s="150"/>
      <c r="HY12" s="150"/>
      <c r="HZ12" s="150"/>
      <c r="IA12" s="150"/>
      <c r="IB12" s="150"/>
      <c r="IC12" s="151"/>
    </row>
    <row r="13" spans="2:237" s="41" customFormat="1" ht="36" hidden="1" customHeight="1" thickBot="1" x14ac:dyDescent="0.35">
      <c r="B13" s="52">
        <v>1</v>
      </c>
      <c r="C13" s="52">
        <v>2</v>
      </c>
      <c r="D13" s="53">
        <v>3</v>
      </c>
      <c r="E13" s="53">
        <v>4</v>
      </c>
      <c r="F13" s="53">
        <v>5</v>
      </c>
      <c r="G13" s="53">
        <v>6</v>
      </c>
      <c r="H13" s="54">
        <v>7</v>
      </c>
      <c r="I13" s="54">
        <v>8</v>
      </c>
      <c r="J13" s="54">
        <v>9</v>
      </c>
      <c r="K13" s="54">
        <v>10</v>
      </c>
      <c r="L13" s="54">
        <v>11</v>
      </c>
      <c r="M13" s="54">
        <v>12</v>
      </c>
      <c r="N13" s="54">
        <v>13</v>
      </c>
      <c r="O13" s="54">
        <v>14</v>
      </c>
      <c r="P13" s="54">
        <v>15</v>
      </c>
      <c r="Q13" s="54">
        <v>16</v>
      </c>
      <c r="R13" s="54">
        <v>17</v>
      </c>
      <c r="S13" s="54">
        <v>18</v>
      </c>
      <c r="T13" s="54">
        <v>19</v>
      </c>
      <c r="U13" s="54">
        <v>20</v>
      </c>
      <c r="V13" s="54">
        <v>21</v>
      </c>
      <c r="W13" s="52">
        <v>22</v>
      </c>
      <c r="X13" s="52">
        <v>23</v>
      </c>
      <c r="Y13" s="52">
        <v>24</v>
      </c>
      <c r="Z13" s="52">
        <v>25</v>
      </c>
      <c r="AA13" s="52">
        <v>26</v>
      </c>
      <c r="AB13" s="52">
        <v>27</v>
      </c>
      <c r="AC13" s="52">
        <v>28</v>
      </c>
      <c r="AD13" s="52">
        <v>29</v>
      </c>
      <c r="AE13" s="52">
        <v>30</v>
      </c>
      <c r="AF13" s="52">
        <v>31</v>
      </c>
      <c r="AG13" s="52">
        <v>32</v>
      </c>
      <c r="AH13" s="52">
        <v>33</v>
      </c>
      <c r="AI13" s="52">
        <v>34</v>
      </c>
      <c r="AJ13" s="52">
        <v>35</v>
      </c>
      <c r="AK13" s="52">
        <v>36</v>
      </c>
      <c r="AL13" s="52">
        <v>37</v>
      </c>
      <c r="AM13" s="52">
        <v>38</v>
      </c>
      <c r="AN13" s="52">
        <v>39</v>
      </c>
      <c r="AO13" s="52">
        <v>40</v>
      </c>
      <c r="AP13" s="52">
        <v>41</v>
      </c>
      <c r="AQ13" s="52">
        <v>42</v>
      </c>
      <c r="AR13" s="52">
        <v>43</v>
      </c>
      <c r="AS13" s="52">
        <v>44</v>
      </c>
      <c r="AT13" s="52">
        <v>45</v>
      </c>
      <c r="AU13" s="52">
        <v>46</v>
      </c>
      <c r="AV13" s="52">
        <v>47</v>
      </c>
      <c r="AW13" s="52">
        <v>48</v>
      </c>
      <c r="AX13" s="52">
        <v>49</v>
      </c>
      <c r="AY13" s="52">
        <v>50</v>
      </c>
      <c r="AZ13" s="52">
        <v>51</v>
      </c>
      <c r="BA13" s="52">
        <v>52</v>
      </c>
      <c r="BB13" s="52">
        <v>53</v>
      </c>
      <c r="BC13" s="52">
        <v>54</v>
      </c>
      <c r="BD13" s="52">
        <v>55</v>
      </c>
      <c r="BE13" s="52">
        <v>56</v>
      </c>
      <c r="BF13" s="52">
        <v>57</v>
      </c>
      <c r="BG13" s="52">
        <v>58</v>
      </c>
      <c r="BH13" s="52">
        <v>59</v>
      </c>
      <c r="BI13" s="52">
        <v>60</v>
      </c>
      <c r="BJ13" s="52">
        <v>61</v>
      </c>
      <c r="BK13" s="52">
        <v>62</v>
      </c>
      <c r="BL13" s="52">
        <v>63</v>
      </c>
      <c r="BM13" s="52">
        <v>64</v>
      </c>
      <c r="BN13" s="52">
        <v>65</v>
      </c>
      <c r="BO13" s="52">
        <v>66</v>
      </c>
      <c r="BP13" s="52">
        <v>67</v>
      </c>
      <c r="BQ13" s="52">
        <v>68</v>
      </c>
      <c r="BR13" s="52">
        <v>69</v>
      </c>
      <c r="BS13" s="52">
        <v>70</v>
      </c>
      <c r="BT13" s="52">
        <v>71</v>
      </c>
      <c r="BU13" s="52">
        <v>72</v>
      </c>
      <c r="BV13" s="52">
        <v>73</v>
      </c>
      <c r="BW13" s="52">
        <v>74</v>
      </c>
      <c r="BX13" s="52">
        <v>75</v>
      </c>
      <c r="BY13" s="52">
        <v>76</v>
      </c>
      <c r="BZ13" s="52">
        <v>77</v>
      </c>
      <c r="CA13" s="52">
        <v>78</v>
      </c>
      <c r="CB13" s="52">
        <v>79</v>
      </c>
      <c r="CC13" s="52">
        <v>80</v>
      </c>
      <c r="CD13" s="52">
        <v>81</v>
      </c>
      <c r="CE13" s="52">
        <v>82</v>
      </c>
      <c r="CF13" s="52">
        <v>83</v>
      </c>
      <c r="CG13" s="52">
        <v>84</v>
      </c>
      <c r="CH13" s="52">
        <v>85</v>
      </c>
      <c r="CI13" s="52">
        <v>86</v>
      </c>
      <c r="CJ13" s="52">
        <v>87</v>
      </c>
      <c r="CK13" s="52">
        <v>88</v>
      </c>
      <c r="CL13" s="52">
        <v>89</v>
      </c>
      <c r="CM13" s="52">
        <v>90</v>
      </c>
      <c r="CN13" s="52">
        <v>91</v>
      </c>
      <c r="CO13" s="52">
        <v>92</v>
      </c>
      <c r="CP13" s="52">
        <v>93</v>
      </c>
      <c r="CQ13" s="52">
        <v>94</v>
      </c>
      <c r="CR13" s="52">
        <v>95</v>
      </c>
      <c r="CS13" s="52">
        <v>96</v>
      </c>
      <c r="CT13" s="52">
        <v>97</v>
      </c>
      <c r="CU13" s="52">
        <v>98</v>
      </c>
      <c r="CV13" s="52">
        <v>99</v>
      </c>
      <c r="CW13" s="52">
        <v>100</v>
      </c>
      <c r="CX13" s="52">
        <v>101</v>
      </c>
      <c r="CY13" s="52">
        <v>102</v>
      </c>
      <c r="CZ13" s="52">
        <v>103</v>
      </c>
      <c r="DA13" s="52">
        <v>104</v>
      </c>
      <c r="DB13" s="52">
        <v>105</v>
      </c>
      <c r="DC13" s="52">
        <v>106</v>
      </c>
      <c r="DD13" s="52">
        <v>107</v>
      </c>
      <c r="DE13" s="52">
        <v>108</v>
      </c>
      <c r="DF13" s="52">
        <v>109</v>
      </c>
      <c r="DG13" s="52">
        <v>110</v>
      </c>
      <c r="DH13" s="52">
        <v>111</v>
      </c>
      <c r="DI13" s="52">
        <v>112</v>
      </c>
      <c r="DJ13" s="52">
        <v>113</v>
      </c>
      <c r="DK13" s="52">
        <v>114</v>
      </c>
      <c r="DL13" s="52">
        <v>115</v>
      </c>
      <c r="DM13" s="52">
        <v>116</v>
      </c>
      <c r="DN13" s="52">
        <v>117</v>
      </c>
      <c r="DO13" s="52">
        <v>118</v>
      </c>
      <c r="DP13" s="52">
        <v>119</v>
      </c>
      <c r="DQ13" s="52">
        <v>120</v>
      </c>
      <c r="DR13" s="52">
        <v>121</v>
      </c>
      <c r="DS13" s="52">
        <v>122</v>
      </c>
      <c r="DT13" s="52">
        <v>123</v>
      </c>
      <c r="DU13" s="52">
        <v>124</v>
      </c>
      <c r="DV13" s="52">
        <v>125</v>
      </c>
      <c r="DW13" s="52">
        <v>126</v>
      </c>
      <c r="DX13" s="52">
        <v>127</v>
      </c>
      <c r="DY13" s="52">
        <v>128</v>
      </c>
      <c r="DZ13" s="52">
        <v>129</v>
      </c>
      <c r="EA13" s="52">
        <v>130</v>
      </c>
      <c r="EB13" s="52">
        <v>131</v>
      </c>
      <c r="EC13" s="52">
        <v>132</v>
      </c>
      <c r="ED13" s="52">
        <v>133</v>
      </c>
      <c r="EE13" s="52">
        <v>134</v>
      </c>
      <c r="EF13" s="52">
        <v>135</v>
      </c>
      <c r="EG13" s="52">
        <v>136</v>
      </c>
      <c r="EH13" s="52">
        <v>137</v>
      </c>
      <c r="EI13" s="52">
        <v>138</v>
      </c>
      <c r="EJ13" s="52">
        <v>139</v>
      </c>
      <c r="EK13" s="52">
        <v>140</v>
      </c>
      <c r="EL13" s="52">
        <v>141</v>
      </c>
      <c r="EM13" s="52">
        <v>142</v>
      </c>
      <c r="EN13" s="52">
        <v>143</v>
      </c>
      <c r="EO13" s="52">
        <v>144</v>
      </c>
      <c r="EP13" s="52">
        <v>145</v>
      </c>
      <c r="EQ13" s="52">
        <v>146</v>
      </c>
      <c r="ER13" s="52">
        <v>147</v>
      </c>
      <c r="ES13" s="52">
        <v>148</v>
      </c>
      <c r="ET13" s="52">
        <v>149</v>
      </c>
      <c r="EU13" s="52">
        <v>150</v>
      </c>
      <c r="EV13" s="52">
        <v>151</v>
      </c>
      <c r="EW13" s="52">
        <v>152</v>
      </c>
      <c r="EX13" s="52">
        <v>153</v>
      </c>
      <c r="EY13" s="52">
        <v>154</v>
      </c>
      <c r="EZ13" s="52">
        <v>155</v>
      </c>
      <c r="FA13" s="52">
        <v>156</v>
      </c>
      <c r="FB13" s="52">
        <v>157</v>
      </c>
      <c r="FC13" s="52">
        <v>158</v>
      </c>
      <c r="FD13" s="52">
        <v>159</v>
      </c>
      <c r="FE13" s="52">
        <v>160</v>
      </c>
      <c r="FF13" s="52">
        <v>161</v>
      </c>
      <c r="FG13" s="52">
        <v>162</v>
      </c>
      <c r="FH13" s="52">
        <v>163</v>
      </c>
      <c r="FI13" s="52">
        <v>164</v>
      </c>
      <c r="FJ13" s="52">
        <v>165</v>
      </c>
      <c r="FK13" s="52">
        <v>166</v>
      </c>
      <c r="FL13" s="52">
        <v>167</v>
      </c>
      <c r="FM13" s="52">
        <v>168</v>
      </c>
      <c r="FN13" s="52">
        <v>169</v>
      </c>
      <c r="FO13" s="52">
        <v>170</v>
      </c>
      <c r="FP13" s="52">
        <v>171</v>
      </c>
      <c r="FQ13" s="52">
        <v>172</v>
      </c>
      <c r="FR13" s="52">
        <v>173</v>
      </c>
      <c r="FS13" s="52">
        <v>174</v>
      </c>
      <c r="FT13" s="52">
        <v>175</v>
      </c>
      <c r="FU13" s="52">
        <v>176</v>
      </c>
      <c r="FV13" s="52">
        <v>177</v>
      </c>
      <c r="FW13" s="52">
        <v>178</v>
      </c>
      <c r="FX13" s="52">
        <v>179</v>
      </c>
      <c r="FY13" s="52">
        <v>180</v>
      </c>
      <c r="FZ13" s="52">
        <v>181</v>
      </c>
      <c r="GA13" s="52">
        <v>182</v>
      </c>
      <c r="GB13" s="52">
        <v>183</v>
      </c>
      <c r="GC13" s="52">
        <v>184</v>
      </c>
      <c r="GD13" s="52">
        <v>185</v>
      </c>
      <c r="GE13" s="52">
        <v>186</v>
      </c>
      <c r="GF13" s="52">
        <v>187</v>
      </c>
      <c r="GG13" s="52">
        <v>188</v>
      </c>
      <c r="GH13" s="52">
        <v>189</v>
      </c>
      <c r="GI13" s="52">
        <v>190</v>
      </c>
      <c r="GJ13" s="52">
        <v>191</v>
      </c>
      <c r="GK13" s="52">
        <v>192</v>
      </c>
      <c r="GL13" s="52">
        <v>193</v>
      </c>
      <c r="GM13" s="52">
        <v>194</v>
      </c>
      <c r="GN13" s="52">
        <v>195</v>
      </c>
      <c r="GO13" s="52">
        <v>196</v>
      </c>
      <c r="GP13" s="52">
        <v>197</v>
      </c>
      <c r="GQ13" s="52">
        <v>198</v>
      </c>
      <c r="GR13" s="52">
        <v>199</v>
      </c>
      <c r="GS13" s="52">
        <v>200</v>
      </c>
      <c r="GT13" s="52">
        <v>201</v>
      </c>
      <c r="GU13" s="52">
        <v>202</v>
      </c>
      <c r="GV13" s="52">
        <v>203</v>
      </c>
      <c r="GW13" s="52">
        <v>204</v>
      </c>
      <c r="GX13" s="52">
        <v>205</v>
      </c>
      <c r="GY13" s="52">
        <v>206</v>
      </c>
      <c r="GZ13" s="52">
        <v>207</v>
      </c>
      <c r="HA13" s="52">
        <v>208</v>
      </c>
      <c r="HB13" s="52">
        <v>209</v>
      </c>
      <c r="HC13" s="52">
        <v>210</v>
      </c>
      <c r="HD13" s="52">
        <v>211</v>
      </c>
      <c r="HE13" s="52">
        <v>212</v>
      </c>
      <c r="HF13" s="52">
        <v>213</v>
      </c>
      <c r="HG13" s="52">
        <v>214</v>
      </c>
      <c r="HH13" s="52">
        <v>215</v>
      </c>
      <c r="HI13" s="52">
        <v>216</v>
      </c>
      <c r="HJ13" s="52">
        <v>217</v>
      </c>
      <c r="HK13" s="52">
        <v>218</v>
      </c>
      <c r="HL13" s="52">
        <v>219</v>
      </c>
      <c r="HM13" s="52">
        <v>220</v>
      </c>
      <c r="HN13" s="52">
        <v>221</v>
      </c>
      <c r="HO13" s="52">
        <v>222</v>
      </c>
      <c r="HP13" s="52">
        <v>223</v>
      </c>
      <c r="HQ13" s="52">
        <v>224</v>
      </c>
      <c r="HR13" s="52">
        <v>225</v>
      </c>
      <c r="HS13" s="52">
        <v>226</v>
      </c>
      <c r="HT13" s="52">
        <v>227</v>
      </c>
      <c r="HU13" s="52">
        <v>228</v>
      </c>
      <c r="HV13" s="52">
        <v>229</v>
      </c>
      <c r="HW13" s="52">
        <v>230</v>
      </c>
      <c r="HX13" s="52">
        <v>231</v>
      </c>
      <c r="HY13" s="52">
        <v>232</v>
      </c>
      <c r="HZ13" s="52">
        <v>233</v>
      </c>
      <c r="IA13" s="52">
        <v>234</v>
      </c>
      <c r="IB13" s="52">
        <v>235</v>
      </c>
      <c r="IC13" s="55"/>
    </row>
    <row r="14" spans="2:237" s="42" customFormat="1" ht="77.150000000000006" customHeight="1" x14ac:dyDescent="0.3">
      <c r="B14" s="56" t="s">
        <v>8</v>
      </c>
      <c r="C14" s="57" t="s">
        <v>9</v>
      </c>
      <c r="D14" s="58" t="s">
        <v>10</v>
      </c>
      <c r="E14" s="58" t="s">
        <v>11</v>
      </c>
      <c r="F14" s="58" t="s">
        <v>12</v>
      </c>
      <c r="G14" s="58" t="s">
        <v>13</v>
      </c>
      <c r="H14" s="59" t="s">
        <v>14</v>
      </c>
      <c r="I14" s="59" t="s">
        <v>15</v>
      </c>
      <c r="J14" s="59" t="s">
        <v>16</v>
      </c>
      <c r="K14" s="59" t="s">
        <v>17</v>
      </c>
      <c r="L14" s="59" t="s">
        <v>18</v>
      </c>
      <c r="M14" s="59" t="s">
        <v>19</v>
      </c>
      <c r="N14" s="60" t="s">
        <v>20</v>
      </c>
      <c r="O14" s="60" t="s">
        <v>21</v>
      </c>
      <c r="P14" s="60" t="s">
        <v>22</v>
      </c>
      <c r="Q14" s="60" t="s">
        <v>23</v>
      </c>
      <c r="R14" s="60" t="s">
        <v>24</v>
      </c>
      <c r="S14" s="60" t="s">
        <v>25</v>
      </c>
      <c r="T14" s="59" t="s">
        <v>26</v>
      </c>
      <c r="U14" s="59" t="s">
        <v>27</v>
      </c>
      <c r="V14" s="60" t="s">
        <v>28</v>
      </c>
      <c r="W14" s="61" t="s">
        <v>29</v>
      </c>
      <c r="X14" s="61" t="s">
        <v>30</v>
      </c>
      <c r="Y14" s="61" t="s">
        <v>31</v>
      </c>
      <c r="Z14" s="61" t="s">
        <v>32</v>
      </c>
      <c r="AA14" s="61" t="s">
        <v>33</v>
      </c>
      <c r="AB14" s="61" t="s">
        <v>34</v>
      </c>
      <c r="AC14" s="61" t="s">
        <v>35</v>
      </c>
      <c r="AD14" s="61" t="s">
        <v>36</v>
      </c>
      <c r="AE14" s="61" t="s">
        <v>37</v>
      </c>
      <c r="AF14" s="61" t="s">
        <v>38</v>
      </c>
      <c r="AG14" s="61" t="s">
        <v>39</v>
      </c>
      <c r="AH14" s="61" t="s">
        <v>40</v>
      </c>
      <c r="AI14" s="62" t="s">
        <v>41</v>
      </c>
      <c r="AJ14" s="61" t="s">
        <v>42</v>
      </c>
      <c r="AK14" s="63" t="s">
        <v>43</v>
      </c>
      <c r="AL14" s="64" t="s">
        <v>44</v>
      </c>
      <c r="AM14" s="64" t="s">
        <v>45</v>
      </c>
      <c r="AN14" s="64" t="s">
        <v>46</v>
      </c>
      <c r="AO14" s="64" t="s">
        <v>47</v>
      </c>
      <c r="AP14" s="64" t="s">
        <v>48</v>
      </c>
      <c r="AQ14" s="64" t="s">
        <v>49</v>
      </c>
      <c r="AR14" s="64" t="s">
        <v>50</v>
      </c>
      <c r="AS14" s="64" t="s">
        <v>51</v>
      </c>
      <c r="AT14" s="64" t="s">
        <v>52</v>
      </c>
      <c r="AU14" s="64" t="s">
        <v>53</v>
      </c>
      <c r="AV14" s="64" t="s">
        <v>54</v>
      </c>
      <c r="AW14" s="64" t="s">
        <v>55</v>
      </c>
      <c r="AX14" s="64" t="s">
        <v>56</v>
      </c>
      <c r="AY14" s="65" t="s">
        <v>57</v>
      </c>
      <c r="AZ14" s="63" t="s">
        <v>58</v>
      </c>
      <c r="BA14" s="64" t="s">
        <v>59</v>
      </c>
      <c r="BB14" s="64" t="s">
        <v>60</v>
      </c>
      <c r="BC14" s="64" t="s">
        <v>61</v>
      </c>
      <c r="BD14" s="64" t="s">
        <v>62</v>
      </c>
      <c r="BE14" s="64" t="s">
        <v>63</v>
      </c>
      <c r="BF14" s="64" t="s">
        <v>64</v>
      </c>
      <c r="BG14" s="64" t="s">
        <v>65</v>
      </c>
      <c r="BH14" s="64" t="s">
        <v>66</v>
      </c>
      <c r="BI14" s="64" t="s">
        <v>67</v>
      </c>
      <c r="BJ14" s="64" t="s">
        <v>68</v>
      </c>
      <c r="BK14" s="64" t="s">
        <v>69</v>
      </c>
      <c r="BL14" s="64" t="s">
        <v>70</v>
      </c>
      <c r="BM14" s="64" t="s">
        <v>71</v>
      </c>
      <c r="BN14" s="64" t="s">
        <v>72</v>
      </c>
      <c r="BO14" s="63" t="s">
        <v>73</v>
      </c>
      <c r="BP14" s="64" t="s">
        <v>74</v>
      </c>
      <c r="BQ14" s="64" t="s">
        <v>75</v>
      </c>
      <c r="BR14" s="64" t="s">
        <v>76</v>
      </c>
      <c r="BS14" s="64" t="s">
        <v>77</v>
      </c>
      <c r="BT14" s="64" t="s">
        <v>78</v>
      </c>
      <c r="BU14" s="64" t="s">
        <v>79</v>
      </c>
      <c r="BV14" s="64" t="s">
        <v>80</v>
      </c>
      <c r="BW14" s="64" t="s">
        <v>81</v>
      </c>
      <c r="BX14" s="64" t="s">
        <v>82</v>
      </c>
      <c r="BY14" s="64" t="s">
        <v>83</v>
      </c>
      <c r="BZ14" s="64" t="s">
        <v>84</v>
      </c>
      <c r="CA14" s="64" t="s">
        <v>85</v>
      </c>
      <c r="CB14" s="64" t="s">
        <v>86</v>
      </c>
      <c r="CC14" s="64" t="s">
        <v>87</v>
      </c>
      <c r="CD14" s="63" t="s">
        <v>88</v>
      </c>
      <c r="CE14" s="64" t="s">
        <v>89</v>
      </c>
      <c r="CF14" s="64" t="s">
        <v>90</v>
      </c>
      <c r="CG14" s="64" t="s">
        <v>91</v>
      </c>
      <c r="CH14" s="64" t="s">
        <v>92</v>
      </c>
      <c r="CI14" s="64" t="s">
        <v>93</v>
      </c>
      <c r="CJ14" s="64" t="s">
        <v>94</v>
      </c>
      <c r="CK14" s="64" t="s">
        <v>95</v>
      </c>
      <c r="CL14" s="64" t="s">
        <v>96</v>
      </c>
      <c r="CM14" s="64" t="s">
        <v>97</v>
      </c>
      <c r="CN14" s="64" t="s">
        <v>98</v>
      </c>
      <c r="CO14" s="64" t="s">
        <v>99</v>
      </c>
      <c r="CP14" s="64" t="s">
        <v>100</v>
      </c>
      <c r="CQ14" s="64" t="s">
        <v>101</v>
      </c>
      <c r="CR14" s="64" t="s">
        <v>102</v>
      </c>
      <c r="CS14" s="63" t="s">
        <v>103</v>
      </c>
      <c r="CT14" s="64" t="s">
        <v>104</v>
      </c>
      <c r="CU14" s="64" t="s">
        <v>105</v>
      </c>
      <c r="CV14" s="64" t="s">
        <v>106</v>
      </c>
      <c r="CW14" s="64" t="s">
        <v>107</v>
      </c>
      <c r="CX14" s="64" t="s">
        <v>108</v>
      </c>
      <c r="CY14" s="64" t="s">
        <v>109</v>
      </c>
      <c r="CZ14" s="64" t="s">
        <v>110</v>
      </c>
      <c r="DA14" s="64" t="s">
        <v>111</v>
      </c>
      <c r="DB14" s="64" t="s">
        <v>112</v>
      </c>
      <c r="DC14" s="64" t="s">
        <v>113</v>
      </c>
      <c r="DD14" s="64" t="s">
        <v>114</v>
      </c>
      <c r="DE14" s="64" t="s">
        <v>115</v>
      </c>
      <c r="DF14" s="64" t="s">
        <v>116</v>
      </c>
      <c r="DG14" s="64" t="s">
        <v>117</v>
      </c>
      <c r="DH14" s="63" t="s">
        <v>118</v>
      </c>
      <c r="DI14" s="64" t="s">
        <v>119</v>
      </c>
      <c r="DJ14" s="64" t="s">
        <v>120</v>
      </c>
      <c r="DK14" s="64" t="s">
        <v>121</v>
      </c>
      <c r="DL14" s="64" t="s">
        <v>122</v>
      </c>
      <c r="DM14" s="64" t="s">
        <v>123</v>
      </c>
      <c r="DN14" s="64" t="s">
        <v>124</v>
      </c>
      <c r="DO14" s="64" t="s">
        <v>125</v>
      </c>
      <c r="DP14" s="64" t="s">
        <v>126</v>
      </c>
      <c r="DQ14" s="64" t="s">
        <v>127</v>
      </c>
      <c r="DR14" s="64" t="s">
        <v>128</v>
      </c>
      <c r="DS14" s="64" t="s">
        <v>129</v>
      </c>
      <c r="DT14" s="64" t="s">
        <v>130</v>
      </c>
      <c r="DU14" s="64" t="s">
        <v>131</v>
      </c>
      <c r="DV14" s="64" t="s">
        <v>132</v>
      </c>
      <c r="DW14" s="63" t="s">
        <v>133</v>
      </c>
      <c r="DX14" s="64" t="s">
        <v>134</v>
      </c>
      <c r="DY14" s="64" t="s">
        <v>135</v>
      </c>
      <c r="DZ14" s="64" t="s">
        <v>136</v>
      </c>
      <c r="EA14" s="64" t="s">
        <v>137</v>
      </c>
      <c r="EB14" s="64" t="s">
        <v>138</v>
      </c>
      <c r="EC14" s="64" t="s">
        <v>139</v>
      </c>
      <c r="ED14" s="64" t="s">
        <v>140</v>
      </c>
      <c r="EE14" s="64" t="s">
        <v>141</v>
      </c>
      <c r="EF14" s="64" t="s">
        <v>142</v>
      </c>
      <c r="EG14" s="64" t="s">
        <v>143</v>
      </c>
      <c r="EH14" s="64" t="s">
        <v>144</v>
      </c>
      <c r="EI14" s="64" t="s">
        <v>145</v>
      </c>
      <c r="EJ14" s="64" t="s">
        <v>146</v>
      </c>
      <c r="EK14" s="64" t="s">
        <v>147</v>
      </c>
      <c r="EL14" s="63" t="s">
        <v>148</v>
      </c>
      <c r="EM14" s="64" t="s">
        <v>149</v>
      </c>
      <c r="EN14" s="64" t="s">
        <v>150</v>
      </c>
      <c r="EO14" s="64" t="s">
        <v>151</v>
      </c>
      <c r="EP14" s="64" t="s">
        <v>152</v>
      </c>
      <c r="EQ14" s="64" t="s">
        <v>153</v>
      </c>
      <c r="ER14" s="64" t="s">
        <v>154</v>
      </c>
      <c r="ES14" s="64" t="s">
        <v>155</v>
      </c>
      <c r="ET14" s="64" t="s">
        <v>156</v>
      </c>
      <c r="EU14" s="64" t="s">
        <v>157</v>
      </c>
      <c r="EV14" s="64" t="s">
        <v>158</v>
      </c>
      <c r="EW14" s="64" t="s">
        <v>159</v>
      </c>
      <c r="EX14" s="64" t="s">
        <v>160</v>
      </c>
      <c r="EY14" s="64" t="s">
        <v>161</v>
      </c>
      <c r="EZ14" s="64" t="s">
        <v>162</v>
      </c>
      <c r="FA14" s="63" t="s">
        <v>163</v>
      </c>
      <c r="FB14" s="66" t="s">
        <v>164</v>
      </c>
      <c r="FC14" s="66" t="s">
        <v>165</v>
      </c>
      <c r="FD14" s="66" t="s">
        <v>166</v>
      </c>
      <c r="FE14" s="66" t="s">
        <v>167</v>
      </c>
      <c r="FF14" s="66" t="s">
        <v>168</v>
      </c>
      <c r="FG14" s="66" t="s">
        <v>169</v>
      </c>
      <c r="FH14" s="66" t="s">
        <v>170</v>
      </c>
      <c r="FI14" s="66" t="s">
        <v>171</v>
      </c>
      <c r="FJ14" s="66" t="s">
        <v>172</v>
      </c>
      <c r="FK14" s="63" t="s">
        <v>173</v>
      </c>
      <c r="FL14" s="66" t="s">
        <v>174</v>
      </c>
      <c r="FM14" s="66" t="s">
        <v>175</v>
      </c>
      <c r="FN14" s="66" t="s">
        <v>176</v>
      </c>
      <c r="FO14" s="66" t="s">
        <v>177</v>
      </c>
      <c r="FP14" s="66" t="s">
        <v>178</v>
      </c>
      <c r="FQ14" s="66" t="s">
        <v>179</v>
      </c>
      <c r="FR14" s="66" t="s">
        <v>180</v>
      </c>
      <c r="FS14" s="66" t="s">
        <v>181</v>
      </c>
      <c r="FT14" s="66" t="s">
        <v>182</v>
      </c>
      <c r="FU14" s="63" t="s">
        <v>183</v>
      </c>
      <c r="FV14" s="66" t="s">
        <v>184</v>
      </c>
      <c r="FW14" s="66" t="s">
        <v>185</v>
      </c>
      <c r="FX14" s="66" t="s">
        <v>186</v>
      </c>
      <c r="FY14" s="66" t="s">
        <v>187</v>
      </c>
      <c r="FZ14" s="66" t="s">
        <v>188</v>
      </c>
      <c r="GA14" s="66" t="s">
        <v>189</v>
      </c>
      <c r="GB14" s="66" t="s">
        <v>190</v>
      </c>
      <c r="GC14" s="66" t="s">
        <v>191</v>
      </c>
      <c r="GD14" s="66" t="s">
        <v>192</v>
      </c>
      <c r="GE14" s="63" t="s">
        <v>193</v>
      </c>
      <c r="GF14" s="66" t="s">
        <v>194</v>
      </c>
      <c r="GG14" s="66" t="s">
        <v>195</v>
      </c>
      <c r="GH14" s="66" t="s">
        <v>196</v>
      </c>
      <c r="GI14" s="66" t="s">
        <v>197</v>
      </c>
      <c r="GJ14" s="66" t="s">
        <v>198</v>
      </c>
      <c r="GK14" s="66" t="s">
        <v>199</v>
      </c>
      <c r="GL14" s="66" t="s">
        <v>200</v>
      </c>
      <c r="GM14" s="66" t="s">
        <v>201</v>
      </c>
      <c r="GN14" s="66" t="s">
        <v>202</v>
      </c>
      <c r="GO14" s="63" t="s">
        <v>203</v>
      </c>
      <c r="GP14" s="66" t="s">
        <v>204</v>
      </c>
      <c r="GQ14" s="66" t="s">
        <v>205</v>
      </c>
      <c r="GR14" s="66" t="s">
        <v>206</v>
      </c>
      <c r="GS14" s="66" t="s">
        <v>207</v>
      </c>
      <c r="GT14" s="66" t="s">
        <v>208</v>
      </c>
      <c r="GU14" s="66" t="s">
        <v>209</v>
      </c>
      <c r="GV14" s="66" t="s">
        <v>210</v>
      </c>
      <c r="GW14" s="66" t="s">
        <v>211</v>
      </c>
      <c r="GX14" s="66" t="s">
        <v>212</v>
      </c>
      <c r="GY14" s="63" t="s">
        <v>213</v>
      </c>
      <c r="GZ14" s="66" t="s">
        <v>214</v>
      </c>
      <c r="HA14" s="66" t="s">
        <v>215</v>
      </c>
      <c r="HB14" s="66" t="s">
        <v>216</v>
      </c>
      <c r="HC14" s="66" t="s">
        <v>217</v>
      </c>
      <c r="HD14" s="66" t="s">
        <v>218</v>
      </c>
      <c r="HE14" s="66" t="s">
        <v>219</v>
      </c>
      <c r="HF14" s="66" t="s">
        <v>220</v>
      </c>
      <c r="HG14" s="66" t="s">
        <v>221</v>
      </c>
      <c r="HH14" s="66" t="s">
        <v>222</v>
      </c>
      <c r="HI14" s="63" t="s">
        <v>223</v>
      </c>
      <c r="HJ14" s="66" t="s">
        <v>224</v>
      </c>
      <c r="HK14" s="66" t="s">
        <v>225</v>
      </c>
      <c r="HL14" s="66" t="s">
        <v>226</v>
      </c>
      <c r="HM14" s="66" t="s">
        <v>227</v>
      </c>
      <c r="HN14" s="66" t="s">
        <v>228</v>
      </c>
      <c r="HO14" s="66" t="s">
        <v>229</v>
      </c>
      <c r="HP14" s="66" t="s">
        <v>230</v>
      </c>
      <c r="HQ14" s="66" t="s">
        <v>231</v>
      </c>
      <c r="HR14" s="66" t="s">
        <v>232</v>
      </c>
      <c r="HS14" s="63" t="s">
        <v>233</v>
      </c>
      <c r="HT14" s="66" t="s">
        <v>234</v>
      </c>
      <c r="HU14" s="66" t="s">
        <v>235</v>
      </c>
      <c r="HV14" s="66" t="s">
        <v>236</v>
      </c>
      <c r="HW14" s="66" t="s">
        <v>237</v>
      </c>
      <c r="HX14" s="66" t="s">
        <v>238</v>
      </c>
      <c r="HY14" s="66" t="s">
        <v>239</v>
      </c>
      <c r="HZ14" s="66" t="s">
        <v>240</v>
      </c>
      <c r="IA14" s="66" t="s">
        <v>241</v>
      </c>
      <c r="IB14" s="66" t="s">
        <v>242</v>
      </c>
      <c r="IC14" s="67" t="s">
        <v>243</v>
      </c>
    </row>
    <row r="15" spans="2:237" s="1" customFormat="1" ht="14" x14ac:dyDescent="0.3">
      <c r="B15" s="68">
        <v>1</v>
      </c>
      <c r="C15" s="1" t="s">
        <v>244</v>
      </c>
      <c r="D15" s="69" t="s">
        <v>245</v>
      </c>
      <c r="E15" s="69" t="s">
        <v>246</v>
      </c>
      <c r="F15" s="13" t="s">
        <v>247</v>
      </c>
      <c r="G15" s="69" t="s">
        <v>248</v>
      </c>
      <c r="H15" s="70" t="s">
        <v>245</v>
      </c>
      <c r="I15" s="70" t="s">
        <v>245</v>
      </c>
      <c r="J15" s="70" t="s">
        <v>245</v>
      </c>
      <c r="K15" s="70" t="s">
        <v>245</v>
      </c>
      <c r="L15" s="70" t="s">
        <v>245</v>
      </c>
      <c r="M15" s="70" t="s">
        <v>245</v>
      </c>
      <c r="N15" s="71" t="s">
        <v>249</v>
      </c>
      <c r="O15" s="72" t="s">
        <v>250</v>
      </c>
      <c r="P15" s="70" t="s">
        <v>245</v>
      </c>
      <c r="Q15" s="70" t="s">
        <v>245</v>
      </c>
      <c r="R15" s="70" t="s">
        <v>245</v>
      </c>
      <c r="S15" s="70" t="s">
        <v>245</v>
      </c>
      <c r="T15" s="70" t="s">
        <v>251</v>
      </c>
      <c r="U15" s="70" t="s">
        <v>252</v>
      </c>
      <c r="V15" s="70" t="s">
        <v>253</v>
      </c>
      <c r="W15" s="70" t="s">
        <v>244</v>
      </c>
      <c r="X15" s="73" t="s">
        <v>254</v>
      </c>
      <c r="Y15" s="43" t="s">
        <v>255</v>
      </c>
      <c r="Z15" s="73" t="s">
        <v>256</v>
      </c>
      <c r="AA15" s="73" t="s">
        <v>256</v>
      </c>
      <c r="AB15" s="73" t="s">
        <v>257</v>
      </c>
      <c r="AC15" s="73" t="s">
        <v>258</v>
      </c>
      <c r="AD15" s="73" t="s">
        <v>258</v>
      </c>
      <c r="AE15" s="73" t="s">
        <v>245</v>
      </c>
      <c r="AF15" s="73" t="s">
        <v>259</v>
      </c>
      <c r="AG15" s="73" t="s">
        <v>256</v>
      </c>
      <c r="AH15" s="73" t="s">
        <v>259</v>
      </c>
      <c r="AI15" s="73" t="s">
        <v>256</v>
      </c>
      <c r="AJ15" s="73" t="s">
        <v>256</v>
      </c>
      <c r="AK15" s="69" t="s">
        <v>260</v>
      </c>
      <c r="AL15" s="69" t="s">
        <v>261</v>
      </c>
      <c r="AM15" s="73" t="s">
        <v>256</v>
      </c>
      <c r="AN15" s="73">
        <v>6</v>
      </c>
      <c r="AO15" s="73">
        <v>9</v>
      </c>
      <c r="AP15" s="73" t="s">
        <v>256</v>
      </c>
      <c r="AQ15" s="73" t="s">
        <v>256</v>
      </c>
      <c r="AR15" s="73" t="s">
        <v>262</v>
      </c>
      <c r="AS15" s="73" t="s">
        <v>263</v>
      </c>
      <c r="AT15" s="73" t="s">
        <v>263</v>
      </c>
      <c r="AU15" s="73" t="s">
        <v>263</v>
      </c>
      <c r="AV15" s="73" t="s">
        <v>256</v>
      </c>
      <c r="AW15" s="73" t="s">
        <v>264</v>
      </c>
      <c r="AX15" s="43" t="s">
        <v>255</v>
      </c>
      <c r="AY15" s="69">
        <v>88198767</v>
      </c>
      <c r="AZ15" s="69" t="s">
        <v>265</v>
      </c>
      <c r="BA15" s="70" t="s">
        <v>266</v>
      </c>
      <c r="BB15" s="73" t="s">
        <v>256</v>
      </c>
      <c r="BC15" s="73">
        <v>5</v>
      </c>
      <c r="BD15" s="73">
        <v>7</v>
      </c>
      <c r="BE15" s="73" t="s">
        <v>256</v>
      </c>
      <c r="BF15" s="73" t="s">
        <v>256</v>
      </c>
      <c r="BG15" s="73" t="s">
        <v>267</v>
      </c>
      <c r="BH15" s="73" t="s">
        <v>263</v>
      </c>
      <c r="BI15" s="73" t="s">
        <v>263</v>
      </c>
      <c r="BJ15" s="73" t="s">
        <v>263</v>
      </c>
      <c r="BK15" s="73" t="s">
        <v>256</v>
      </c>
      <c r="BL15" s="70" t="s">
        <v>264</v>
      </c>
      <c r="BM15" s="44" t="s">
        <v>268</v>
      </c>
      <c r="BN15" s="69">
        <v>61331437</v>
      </c>
      <c r="BO15" s="70" t="s">
        <v>269</v>
      </c>
      <c r="BP15" s="70" t="s">
        <v>266</v>
      </c>
      <c r="BQ15" s="73" t="s">
        <v>256</v>
      </c>
      <c r="BR15" s="73">
        <v>1</v>
      </c>
      <c r="BS15" s="73">
        <v>7</v>
      </c>
      <c r="BT15" s="73" t="s">
        <v>256</v>
      </c>
      <c r="BU15" s="73" t="s">
        <v>256</v>
      </c>
      <c r="BV15" s="73" t="s">
        <v>267</v>
      </c>
      <c r="BW15" s="73" t="s">
        <v>263</v>
      </c>
      <c r="BX15" s="73" t="s">
        <v>263</v>
      </c>
      <c r="BY15" s="73" t="s">
        <v>263</v>
      </c>
      <c r="BZ15" s="73" t="s">
        <v>256</v>
      </c>
      <c r="CA15" s="70" t="s">
        <v>264</v>
      </c>
      <c r="CB15" s="45" t="s">
        <v>270</v>
      </c>
      <c r="CC15" s="73">
        <v>88887436</v>
      </c>
      <c r="CD15" s="70" t="s">
        <v>245</v>
      </c>
      <c r="CE15" s="70" t="s">
        <v>245</v>
      </c>
      <c r="CF15" s="73" t="s">
        <v>245</v>
      </c>
      <c r="CG15" s="73" t="s">
        <v>245</v>
      </c>
      <c r="CH15" s="73" t="s">
        <v>245</v>
      </c>
      <c r="CI15" s="73" t="s">
        <v>245</v>
      </c>
      <c r="CJ15" s="73" t="s">
        <v>245</v>
      </c>
      <c r="CK15" s="73" t="s">
        <v>245</v>
      </c>
      <c r="CL15" s="73" t="s">
        <v>245</v>
      </c>
      <c r="CM15" s="73" t="s">
        <v>245</v>
      </c>
      <c r="CN15" s="73" t="s">
        <v>245</v>
      </c>
      <c r="CO15" s="73" t="s">
        <v>245</v>
      </c>
      <c r="CP15" s="73" t="s">
        <v>245</v>
      </c>
      <c r="CQ15" s="69" t="s">
        <v>245</v>
      </c>
      <c r="CR15" s="73" t="s">
        <v>245</v>
      </c>
      <c r="CS15" s="69" t="s">
        <v>245</v>
      </c>
      <c r="CT15" s="70" t="s">
        <v>245</v>
      </c>
      <c r="CU15" s="73" t="s">
        <v>245</v>
      </c>
      <c r="CV15" s="73" t="s">
        <v>245</v>
      </c>
      <c r="CW15" s="73" t="s">
        <v>245</v>
      </c>
      <c r="CX15" s="73" t="s">
        <v>245</v>
      </c>
      <c r="CY15" s="73" t="s">
        <v>245</v>
      </c>
      <c r="CZ15" s="73" t="s">
        <v>245</v>
      </c>
      <c r="DA15" s="73" t="s">
        <v>245</v>
      </c>
      <c r="DB15" s="73" t="s">
        <v>245</v>
      </c>
      <c r="DC15" s="73" t="s">
        <v>245</v>
      </c>
      <c r="DD15" s="73" t="s">
        <v>245</v>
      </c>
      <c r="DE15" s="73" t="s">
        <v>245</v>
      </c>
      <c r="DF15" s="70" t="s">
        <v>245</v>
      </c>
      <c r="DG15" s="73" t="s">
        <v>245</v>
      </c>
      <c r="DH15" s="70" t="s">
        <v>245</v>
      </c>
      <c r="DI15" s="70" t="s">
        <v>245</v>
      </c>
      <c r="DJ15" s="73" t="s">
        <v>245</v>
      </c>
      <c r="DK15" s="73" t="s">
        <v>245</v>
      </c>
      <c r="DL15" s="73" t="s">
        <v>245</v>
      </c>
      <c r="DM15" s="73" t="s">
        <v>245</v>
      </c>
      <c r="DN15" s="73" t="s">
        <v>245</v>
      </c>
      <c r="DO15" s="73" t="s">
        <v>245</v>
      </c>
      <c r="DP15" s="73" t="s">
        <v>245</v>
      </c>
      <c r="DQ15" s="73" t="s">
        <v>245</v>
      </c>
      <c r="DR15" s="73" t="s">
        <v>245</v>
      </c>
      <c r="DS15" s="73" t="s">
        <v>245</v>
      </c>
      <c r="DT15" s="70" t="s">
        <v>245</v>
      </c>
      <c r="DU15" s="70" t="s">
        <v>245</v>
      </c>
      <c r="DV15" s="73" t="s">
        <v>245</v>
      </c>
      <c r="DW15" s="70" t="s">
        <v>245</v>
      </c>
      <c r="DX15" s="70" t="s">
        <v>245</v>
      </c>
      <c r="DY15" s="73" t="s">
        <v>245</v>
      </c>
      <c r="DZ15" s="73" t="s">
        <v>245</v>
      </c>
      <c r="EA15" s="73" t="s">
        <v>245</v>
      </c>
      <c r="EB15" s="73" t="s">
        <v>245</v>
      </c>
      <c r="EC15" s="73" t="s">
        <v>245</v>
      </c>
      <c r="ED15" s="73" t="s">
        <v>245</v>
      </c>
      <c r="EE15" s="73" t="s">
        <v>245</v>
      </c>
      <c r="EF15" s="73" t="s">
        <v>245</v>
      </c>
      <c r="EG15" s="73" t="s">
        <v>245</v>
      </c>
      <c r="EH15" s="73" t="s">
        <v>245</v>
      </c>
      <c r="EI15" s="69" t="s">
        <v>245</v>
      </c>
      <c r="EJ15" s="70" t="s">
        <v>245</v>
      </c>
      <c r="EK15" s="70" t="s">
        <v>245</v>
      </c>
      <c r="EL15" s="70" t="s">
        <v>245</v>
      </c>
      <c r="EM15" s="70" t="s">
        <v>245</v>
      </c>
      <c r="EN15" s="73" t="s">
        <v>245</v>
      </c>
      <c r="EO15" s="73" t="s">
        <v>245</v>
      </c>
      <c r="EP15" s="73" t="s">
        <v>245</v>
      </c>
      <c r="EQ15" s="73" t="s">
        <v>245</v>
      </c>
      <c r="ER15" s="73" t="s">
        <v>245</v>
      </c>
      <c r="ES15" s="73" t="s">
        <v>245</v>
      </c>
      <c r="ET15" s="73" t="s">
        <v>245</v>
      </c>
      <c r="EU15" s="73" t="s">
        <v>245</v>
      </c>
      <c r="EV15" s="73" t="s">
        <v>245</v>
      </c>
      <c r="EW15" s="73" t="s">
        <v>245</v>
      </c>
      <c r="EX15" s="73" t="s">
        <v>245</v>
      </c>
      <c r="EY15" s="70" t="s">
        <v>245</v>
      </c>
      <c r="EZ15" s="73" t="s">
        <v>245</v>
      </c>
      <c r="FA15" s="70" t="s">
        <v>271</v>
      </c>
      <c r="FB15" s="70" t="s">
        <v>272</v>
      </c>
      <c r="FC15" s="73">
        <v>2004</v>
      </c>
      <c r="FD15" s="73" t="s">
        <v>273</v>
      </c>
      <c r="FE15" s="73" t="s">
        <v>274</v>
      </c>
      <c r="FF15" s="73" t="s">
        <v>275</v>
      </c>
      <c r="FG15" s="73" t="s">
        <v>275</v>
      </c>
      <c r="FH15" s="73" t="s">
        <v>275</v>
      </c>
      <c r="FI15" s="73" t="s">
        <v>275</v>
      </c>
      <c r="FJ15" s="70" t="s">
        <v>275</v>
      </c>
      <c r="FK15" s="70" t="s">
        <v>276</v>
      </c>
      <c r="FL15" s="70" t="s">
        <v>277</v>
      </c>
      <c r="FM15" s="70">
        <v>2019</v>
      </c>
      <c r="FN15" s="70" t="s">
        <v>278</v>
      </c>
      <c r="FO15" s="70" t="s">
        <v>279</v>
      </c>
      <c r="FP15" s="70" t="s">
        <v>275</v>
      </c>
      <c r="FQ15" s="70" t="s">
        <v>275</v>
      </c>
      <c r="FR15" s="70" t="s">
        <v>275</v>
      </c>
      <c r="FS15" s="70" t="s">
        <v>275</v>
      </c>
      <c r="FT15" s="70" t="s">
        <v>275</v>
      </c>
      <c r="FU15" s="70" t="s">
        <v>280</v>
      </c>
      <c r="FV15" s="70" t="s">
        <v>277</v>
      </c>
      <c r="FW15" s="70">
        <v>2020</v>
      </c>
      <c r="FX15" s="70" t="s">
        <v>281</v>
      </c>
      <c r="FY15" s="70" t="s">
        <v>282</v>
      </c>
      <c r="FZ15" s="70" t="s">
        <v>275</v>
      </c>
      <c r="GA15" s="70" t="s">
        <v>245</v>
      </c>
      <c r="GB15" s="70" t="s">
        <v>275</v>
      </c>
      <c r="GC15" s="70" t="s">
        <v>275</v>
      </c>
      <c r="GD15" s="70" t="s">
        <v>275</v>
      </c>
      <c r="GE15" s="70" t="s">
        <v>245</v>
      </c>
      <c r="GF15" s="70" t="s">
        <v>245</v>
      </c>
      <c r="GG15" s="70" t="s">
        <v>245</v>
      </c>
      <c r="GH15" s="70" t="s">
        <v>245</v>
      </c>
      <c r="GI15" s="70" t="s">
        <v>245</v>
      </c>
      <c r="GJ15" s="70" t="s">
        <v>245</v>
      </c>
      <c r="GK15" s="70" t="s">
        <v>245</v>
      </c>
      <c r="GL15" s="70" t="s">
        <v>245</v>
      </c>
      <c r="GM15" s="70" t="s">
        <v>245</v>
      </c>
      <c r="GN15" s="70" t="s">
        <v>245</v>
      </c>
      <c r="GO15" s="70" t="s">
        <v>245</v>
      </c>
      <c r="GP15" s="70" t="s">
        <v>245</v>
      </c>
      <c r="GQ15" s="70" t="s">
        <v>245</v>
      </c>
      <c r="GR15" s="70" t="s">
        <v>245</v>
      </c>
      <c r="GS15" s="70" t="s">
        <v>245</v>
      </c>
      <c r="GT15" s="70" t="s">
        <v>245</v>
      </c>
      <c r="GU15" s="70" t="s">
        <v>245</v>
      </c>
      <c r="GV15" s="70" t="s">
        <v>245</v>
      </c>
      <c r="GW15" s="70" t="s">
        <v>245</v>
      </c>
      <c r="GX15" s="70" t="s">
        <v>245</v>
      </c>
      <c r="GY15" s="70" t="s">
        <v>245</v>
      </c>
      <c r="GZ15" s="70" t="s">
        <v>245</v>
      </c>
      <c r="HA15" s="70" t="s">
        <v>245</v>
      </c>
      <c r="HB15" s="70" t="s">
        <v>245</v>
      </c>
      <c r="HC15" s="70" t="s">
        <v>245</v>
      </c>
      <c r="HD15" s="70" t="s">
        <v>245</v>
      </c>
      <c r="HE15" s="70" t="s">
        <v>245</v>
      </c>
      <c r="HF15" s="70" t="s">
        <v>245</v>
      </c>
      <c r="HG15" s="70" t="s">
        <v>245</v>
      </c>
      <c r="HH15" s="70" t="s">
        <v>245</v>
      </c>
      <c r="HI15" s="70" t="s">
        <v>245</v>
      </c>
      <c r="HJ15" s="70" t="s">
        <v>245</v>
      </c>
      <c r="HK15" s="70" t="s">
        <v>245</v>
      </c>
      <c r="HL15" s="70" t="s">
        <v>245</v>
      </c>
      <c r="HM15" s="70" t="s">
        <v>245</v>
      </c>
      <c r="HN15" s="70" t="s">
        <v>245</v>
      </c>
      <c r="HO15" s="70" t="s">
        <v>245</v>
      </c>
      <c r="HP15" s="70" t="s">
        <v>245</v>
      </c>
      <c r="HQ15" s="70" t="s">
        <v>245</v>
      </c>
      <c r="HR15" s="70" t="s">
        <v>245</v>
      </c>
      <c r="HS15" s="70" t="s">
        <v>245</v>
      </c>
      <c r="HT15" s="70" t="s">
        <v>245</v>
      </c>
      <c r="HU15" s="70" t="s">
        <v>245</v>
      </c>
      <c r="HV15" s="70" t="s">
        <v>245</v>
      </c>
      <c r="HW15" s="70" t="s">
        <v>245</v>
      </c>
      <c r="HX15" s="70" t="s">
        <v>245</v>
      </c>
      <c r="HY15" s="70" t="s">
        <v>245</v>
      </c>
      <c r="HZ15" s="70" t="s">
        <v>245</v>
      </c>
      <c r="IA15" s="70" t="s">
        <v>245</v>
      </c>
      <c r="IB15" s="70" t="s">
        <v>245</v>
      </c>
      <c r="IC15" s="70">
        <f>AVERAGE(Tabla1[[#This Row],[Año 5]],Tabla1[[#This Row],[Año 4]],Tabla1[[#This Row],[Año 3]],Tabla1[[#This Row],[Año 2]],Tabla1[[#This Row],[Año]])</f>
        <v>2014.3333333333333</v>
      </c>
    </row>
    <row r="16" spans="2:237" s="1" customFormat="1" ht="14" x14ac:dyDescent="0.3">
      <c r="B16" s="68">
        <v>2</v>
      </c>
      <c r="C16" s="41" t="s">
        <v>283</v>
      </c>
      <c r="D16" s="69" t="s">
        <v>245</v>
      </c>
      <c r="E16" s="69" t="s">
        <v>246</v>
      </c>
      <c r="F16" s="13" t="s">
        <v>284</v>
      </c>
      <c r="G16" s="69" t="s">
        <v>285</v>
      </c>
      <c r="H16" s="70" t="s">
        <v>245</v>
      </c>
      <c r="I16" s="70" t="s">
        <v>245</v>
      </c>
      <c r="J16" s="70" t="s">
        <v>245</v>
      </c>
      <c r="K16" s="70" t="s">
        <v>245</v>
      </c>
      <c r="L16" s="70" t="s">
        <v>245</v>
      </c>
      <c r="M16" s="70" t="s">
        <v>245</v>
      </c>
      <c r="N16" s="70" t="s">
        <v>286</v>
      </c>
      <c r="O16" s="70" t="s">
        <v>245</v>
      </c>
      <c r="P16" s="70" t="s">
        <v>245</v>
      </c>
      <c r="Q16" s="70" t="s">
        <v>245</v>
      </c>
      <c r="R16" s="70" t="s">
        <v>245</v>
      </c>
      <c r="S16" s="70" t="s">
        <v>245</v>
      </c>
      <c r="T16" s="70" t="s">
        <v>287</v>
      </c>
      <c r="U16" s="70" t="s">
        <v>288</v>
      </c>
      <c r="V16" s="70" t="s">
        <v>289</v>
      </c>
      <c r="W16" s="73" t="s">
        <v>283</v>
      </c>
      <c r="X16" s="73" t="s">
        <v>290</v>
      </c>
      <c r="Y16" s="44" t="s">
        <v>291</v>
      </c>
      <c r="Z16" s="73" t="s">
        <v>256</v>
      </c>
      <c r="AA16" s="73" t="s">
        <v>256</v>
      </c>
      <c r="AB16" s="74" t="s">
        <v>292</v>
      </c>
      <c r="AC16" s="73" t="s">
        <v>258</v>
      </c>
      <c r="AD16" s="73" t="s">
        <v>258</v>
      </c>
      <c r="AE16" s="73" t="s">
        <v>245</v>
      </c>
      <c r="AF16" s="73" t="s">
        <v>259</v>
      </c>
      <c r="AG16" s="73" t="s">
        <v>256</v>
      </c>
      <c r="AH16" s="73" t="s">
        <v>256</v>
      </c>
      <c r="AI16" s="73" t="s">
        <v>256</v>
      </c>
      <c r="AJ16" s="73" t="s">
        <v>256</v>
      </c>
      <c r="AK16" s="69" t="s">
        <v>293</v>
      </c>
      <c r="AL16" s="69" t="s">
        <v>294</v>
      </c>
      <c r="AM16" s="73" t="s">
        <v>256</v>
      </c>
      <c r="AN16" s="73" t="s">
        <v>576</v>
      </c>
      <c r="AO16" s="73" t="s">
        <v>540</v>
      </c>
      <c r="AP16" s="73" t="s">
        <v>256</v>
      </c>
      <c r="AQ16" s="73" t="s">
        <v>256</v>
      </c>
      <c r="AR16" s="73" t="s">
        <v>267</v>
      </c>
      <c r="AS16" s="73" t="s">
        <v>263</v>
      </c>
      <c r="AT16" s="73" t="s">
        <v>263</v>
      </c>
      <c r="AU16" s="73" t="s">
        <v>263</v>
      </c>
      <c r="AV16" s="73" t="s">
        <v>256</v>
      </c>
      <c r="AW16" s="73" t="s">
        <v>264</v>
      </c>
      <c r="AX16" s="44" t="s">
        <v>291</v>
      </c>
      <c r="AY16" s="69">
        <v>86090039</v>
      </c>
      <c r="AZ16" s="69" t="s">
        <v>245</v>
      </c>
      <c r="BA16" s="70" t="s">
        <v>245</v>
      </c>
      <c r="BB16" s="73" t="s">
        <v>245</v>
      </c>
      <c r="BC16" s="73" t="s">
        <v>245</v>
      </c>
      <c r="BD16" s="73" t="s">
        <v>245</v>
      </c>
      <c r="BE16" s="73" t="s">
        <v>245</v>
      </c>
      <c r="BF16" s="73" t="s">
        <v>245</v>
      </c>
      <c r="BG16" s="73" t="s">
        <v>245</v>
      </c>
      <c r="BH16" s="73" t="s">
        <v>245</v>
      </c>
      <c r="BI16" s="73" t="s">
        <v>245</v>
      </c>
      <c r="BJ16" s="73" t="s">
        <v>245</v>
      </c>
      <c r="BK16" s="73" t="s">
        <v>245</v>
      </c>
      <c r="BL16" s="70" t="s">
        <v>245</v>
      </c>
      <c r="BM16" s="69" t="s">
        <v>245</v>
      </c>
      <c r="BN16" s="69" t="s">
        <v>245</v>
      </c>
      <c r="BO16" s="70" t="s">
        <v>245</v>
      </c>
      <c r="BP16" s="70" t="s">
        <v>245</v>
      </c>
      <c r="BQ16" s="73" t="s">
        <v>245</v>
      </c>
      <c r="BR16" s="73" t="s">
        <v>245</v>
      </c>
      <c r="BS16" s="73" t="s">
        <v>245</v>
      </c>
      <c r="BT16" s="73" t="s">
        <v>245</v>
      </c>
      <c r="BU16" s="73" t="s">
        <v>245</v>
      </c>
      <c r="BV16" s="73" t="s">
        <v>245</v>
      </c>
      <c r="BW16" s="73" t="s">
        <v>245</v>
      </c>
      <c r="BX16" s="73" t="s">
        <v>245</v>
      </c>
      <c r="BY16" s="73" t="s">
        <v>245</v>
      </c>
      <c r="BZ16" s="73" t="s">
        <v>245</v>
      </c>
      <c r="CA16" s="70" t="s">
        <v>245</v>
      </c>
      <c r="CB16" s="70" t="s">
        <v>245</v>
      </c>
      <c r="CC16" s="73" t="s">
        <v>245</v>
      </c>
      <c r="CD16" s="70" t="s">
        <v>245</v>
      </c>
      <c r="CE16" s="70" t="s">
        <v>245</v>
      </c>
      <c r="CF16" s="73" t="s">
        <v>245</v>
      </c>
      <c r="CG16" s="73" t="s">
        <v>245</v>
      </c>
      <c r="CH16" s="73" t="s">
        <v>245</v>
      </c>
      <c r="CI16" s="73" t="s">
        <v>245</v>
      </c>
      <c r="CJ16" s="73" t="s">
        <v>245</v>
      </c>
      <c r="CK16" s="73" t="s">
        <v>245</v>
      </c>
      <c r="CL16" s="73" t="s">
        <v>245</v>
      </c>
      <c r="CM16" s="73" t="s">
        <v>245</v>
      </c>
      <c r="CN16" s="73" t="s">
        <v>245</v>
      </c>
      <c r="CO16" s="73" t="s">
        <v>245</v>
      </c>
      <c r="CP16" s="73" t="s">
        <v>245</v>
      </c>
      <c r="CQ16" s="69" t="s">
        <v>245</v>
      </c>
      <c r="CR16" s="73" t="s">
        <v>245</v>
      </c>
      <c r="CS16" s="69" t="s">
        <v>245</v>
      </c>
      <c r="CT16" s="70" t="s">
        <v>245</v>
      </c>
      <c r="CU16" s="73" t="s">
        <v>245</v>
      </c>
      <c r="CV16" s="73" t="s">
        <v>245</v>
      </c>
      <c r="CW16" s="73" t="s">
        <v>245</v>
      </c>
      <c r="CX16" s="73" t="s">
        <v>245</v>
      </c>
      <c r="CY16" s="73" t="s">
        <v>245</v>
      </c>
      <c r="CZ16" s="73" t="s">
        <v>245</v>
      </c>
      <c r="DA16" s="73" t="s">
        <v>245</v>
      </c>
      <c r="DB16" s="73" t="s">
        <v>245</v>
      </c>
      <c r="DC16" s="73" t="s">
        <v>245</v>
      </c>
      <c r="DD16" s="73" t="s">
        <v>245</v>
      </c>
      <c r="DE16" s="73" t="s">
        <v>245</v>
      </c>
      <c r="DF16" s="70" t="s">
        <v>245</v>
      </c>
      <c r="DG16" s="73" t="s">
        <v>245</v>
      </c>
      <c r="DH16" s="70" t="s">
        <v>245</v>
      </c>
      <c r="DI16" s="70" t="s">
        <v>245</v>
      </c>
      <c r="DJ16" s="73" t="s">
        <v>245</v>
      </c>
      <c r="DK16" s="73" t="s">
        <v>245</v>
      </c>
      <c r="DL16" s="73" t="s">
        <v>245</v>
      </c>
      <c r="DM16" s="73" t="s">
        <v>245</v>
      </c>
      <c r="DN16" s="73" t="s">
        <v>245</v>
      </c>
      <c r="DO16" s="73" t="s">
        <v>245</v>
      </c>
      <c r="DP16" s="73" t="s">
        <v>245</v>
      </c>
      <c r="DQ16" s="73" t="s">
        <v>245</v>
      </c>
      <c r="DR16" s="73" t="s">
        <v>245</v>
      </c>
      <c r="DS16" s="73" t="s">
        <v>245</v>
      </c>
      <c r="DT16" s="70" t="s">
        <v>245</v>
      </c>
      <c r="DU16" s="70" t="s">
        <v>245</v>
      </c>
      <c r="DV16" s="73" t="s">
        <v>245</v>
      </c>
      <c r="DW16" s="70" t="s">
        <v>245</v>
      </c>
      <c r="DX16" s="70" t="s">
        <v>245</v>
      </c>
      <c r="DY16" s="73" t="s">
        <v>245</v>
      </c>
      <c r="DZ16" s="73" t="s">
        <v>245</v>
      </c>
      <c r="EA16" s="73" t="s">
        <v>245</v>
      </c>
      <c r="EB16" s="73" t="s">
        <v>245</v>
      </c>
      <c r="EC16" s="73" t="s">
        <v>245</v>
      </c>
      <c r="ED16" s="73" t="s">
        <v>245</v>
      </c>
      <c r="EE16" s="73" t="s">
        <v>245</v>
      </c>
      <c r="EF16" s="73" t="s">
        <v>245</v>
      </c>
      <c r="EG16" s="73" t="s">
        <v>245</v>
      </c>
      <c r="EH16" s="73" t="s">
        <v>245</v>
      </c>
      <c r="EI16" s="69" t="s">
        <v>245</v>
      </c>
      <c r="EJ16" s="70" t="s">
        <v>245</v>
      </c>
      <c r="EK16" s="70" t="s">
        <v>245</v>
      </c>
      <c r="EL16" s="70" t="s">
        <v>245</v>
      </c>
      <c r="EM16" s="70" t="s">
        <v>245</v>
      </c>
      <c r="EN16" s="73" t="s">
        <v>245</v>
      </c>
      <c r="EO16" s="73" t="s">
        <v>245</v>
      </c>
      <c r="EP16" s="73" t="s">
        <v>245</v>
      </c>
      <c r="EQ16" s="73" t="s">
        <v>245</v>
      </c>
      <c r="ER16" s="73" t="s">
        <v>245</v>
      </c>
      <c r="ES16" s="73" t="s">
        <v>245</v>
      </c>
      <c r="ET16" s="73" t="s">
        <v>245</v>
      </c>
      <c r="EU16" s="73" t="s">
        <v>245</v>
      </c>
      <c r="EV16" s="73" t="s">
        <v>245</v>
      </c>
      <c r="EW16" s="73" t="s">
        <v>245</v>
      </c>
      <c r="EX16" s="73" t="s">
        <v>245</v>
      </c>
      <c r="EY16" s="70" t="s">
        <v>245</v>
      </c>
      <c r="EZ16" s="73" t="s">
        <v>245</v>
      </c>
      <c r="FA16" s="70" t="s">
        <v>295</v>
      </c>
      <c r="FB16" s="70" t="s">
        <v>277</v>
      </c>
      <c r="FC16" s="73">
        <v>2019</v>
      </c>
      <c r="FD16" s="73" t="s">
        <v>296</v>
      </c>
      <c r="FE16" s="73" t="s">
        <v>297</v>
      </c>
      <c r="FF16" s="73" t="s">
        <v>275</v>
      </c>
      <c r="FG16" s="73" t="s">
        <v>275</v>
      </c>
      <c r="FH16" s="73" t="s">
        <v>275</v>
      </c>
      <c r="FI16" s="73" t="s">
        <v>275</v>
      </c>
      <c r="FJ16" s="70" t="s">
        <v>275</v>
      </c>
      <c r="FK16" s="70" t="s">
        <v>245</v>
      </c>
      <c r="FL16" s="70" t="s">
        <v>245</v>
      </c>
      <c r="FM16" s="70" t="s">
        <v>245</v>
      </c>
      <c r="FN16" s="70" t="s">
        <v>245</v>
      </c>
      <c r="FO16" s="70" t="s">
        <v>245</v>
      </c>
      <c r="FP16" s="70" t="s">
        <v>245</v>
      </c>
      <c r="FQ16" s="70" t="s">
        <v>245</v>
      </c>
      <c r="FR16" s="70" t="s">
        <v>245</v>
      </c>
      <c r="FS16" s="70" t="s">
        <v>245</v>
      </c>
      <c r="FT16" s="70" t="s">
        <v>245</v>
      </c>
      <c r="FU16" s="70" t="s">
        <v>245</v>
      </c>
      <c r="FV16" s="70" t="s">
        <v>245</v>
      </c>
      <c r="FW16" s="70" t="s">
        <v>245</v>
      </c>
      <c r="FX16" s="70" t="s">
        <v>245</v>
      </c>
      <c r="FY16" s="70" t="s">
        <v>245</v>
      </c>
      <c r="FZ16" s="70" t="s">
        <v>245</v>
      </c>
      <c r="GA16" s="70" t="s">
        <v>245</v>
      </c>
      <c r="GB16" s="70" t="s">
        <v>245</v>
      </c>
      <c r="GC16" s="70" t="s">
        <v>245</v>
      </c>
      <c r="GD16" s="70" t="s">
        <v>245</v>
      </c>
      <c r="GE16" s="70" t="s">
        <v>245</v>
      </c>
      <c r="GF16" s="70" t="s">
        <v>245</v>
      </c>
      <c r="GG16" s="70" t="s">
        <v>245</v>
      </c>
      <c r="GH16" s="70" t="s">
        <v>245</v>
      </c>
      <c r="GI16" s="70" t="s">
        <v>245</v>
      </c>
      <c r="GJ16" s="70" t="s">
        <v>245</v>
      </c>
      <c r="GK16" s="70" t="s">
        <v>245</v>
      </c>
      <c r="GL16" s="70" t="s">
        <v>245</v>
      </c>
      <c r="GM16" s="70" t="s">
        <v>245</v>
      </c>
      <c r="GN16" s="70" t="s">
        <v>245</v>
      </c>
      <c r="GO16" s="70" t="s">
        <v>245</v>
      </c>
      <c r="GP16" s="70" t="s">
        <v>245</v>
      </c>
      <c r="GQ16" s="70" t="s">
        <v>245</v>
      </c>
      <c r="GR16" s="70" t="s">
        <v>245</v>
      </c>
      <c r="GS16" s="70" t="s">
        <v>245</v>
      </c>
      <c r="GT16" s="70" t="s">
        <v>245</v>
      </c>
      <c r="GU16" s="70" t="s">
        <v>245</v>
      </c>
      <c r="GV16" s="70" t="s">
        <v>245</v>
      </c>
      <c r="GW16" s="70" t="s">
        <v>245</v>
      </c>
      <c r="GX16" s="70" t="s">
        <v>245</v>
      </c>
      <c r="GY16" s="70" t="s">
        <v>245</v>
      </c>
      <c r="GZ16" s="70" t="s">
        <v>245</v>
      </c>
      <c r="HA16" s="70" t="s">
        <v>245</v>
      </c>
      <c r="HB16" s="70" t="s">
        <v>245</v>
      </c>
      <c r="HC16" s="70" t="s">
        <v>245</v>
      </c>
      <c r="HD16" s="70" t="s">
        <v>245</v>
      </c>
      <c r="HE16" s="70" t="s">
        <v>245</v>
      </c>
      <c r="HF16" s="70" t="s">
        <v>245</v>
      </c>
      <c r="HG16" s="70" t="s">
        <v>245</v>
      </c>
      <c r="HH16" s="70" t="s">
        <v>245</v>
      </c>
      <c r="HI16" s="70" t="s">
        <v>245</v>
      </c>
      <c r="HJ16" s="70" t="s">
        <v>245</v>
      </c>
      <c r="HK16" s="70" t="s">
        <v>245</v>
      </c>
      <c r="HL16" s="70" t="s">
        <v>245</v>
      </c>
      <c r="HM16" s="70" t="s">
        <v>245</v>
      </c>
      <c r="HN16" s="70" t="s">
        <v>245</v>
      </c>
      <c r="HO16" s="70" t="s">
        <v>245</v>
      </c>
      <c r="HP16" s="70" t="s">
        <v>245</v>
      </c>
      <c r="HQ16" s="70" t="s">
        <v>245</v>
      </c>
      <c r="HR16" s="70" t="s">
        <v>245</v>
      </c>
      <c r="HS16" s="70" t="s">
        <v>245</v>
      </c>
      <c r="HT16" s="70" t="s">
        <v>245</v>
      </c>
      <c r="HU16" s="70" t="s">
        <v>245</v>
      </c>
      <c r="HV16" s="70" t="s">
        <v>245</v>
      </c>
      <c r="HW16" s="70" t="s">
        <v>245</v>
      </c>
      <c r="HX16" s="70" t="s">
        <v>245</v>
      </c>
      <c r="HY16" s="70" t="s">
        <v>245</v>
      </c>
      <c r="HZ16" s="70" t="s">
        <v>245</v>
      </c>
      <c r="IA16" s="70" t="s">
        <v>245</v>
      </c>
      <c r="IB16" s="70" t="s">
        <v>245</v>
      </c>
      <c r="IC16" s="70">
        <f>AVERAGE(Tabla1[[#This Row],[Año 5]],Tabla1[[#This Row],[Año 4]],Tabla1[[#This Row],[Año 3]],Tabla1[[#This Row],[Año 2]],Tabla1[[#This Row],[Año]])</f>
        <v>2019</v>
      </c>
    </row>
    <row r="17" spans="2:237" s="1" customFormat="1" ht="14" x14ac:dyDescent="0.3">
      <c r="B17" s="68">
        <v>3</v>
      </c>
      <c r="C17" s="1" t="s">
        <v>298</v>
      </c>
      <c r="D17" s="69" t="s">
        <v>245</v>
      </c>
      <c r="E17" s="69" t="s">
        <v>246</v>
      </c>
      <c r="F17" s="13" t="s">
        <v>299</v>
      </c>
      <c r="G17" s="69" t="s">
        <v>300</v>
      </c>
      <c r="H17" s="70" t="s">
        <v>245</v>
      </c>
      <c r="I17" s="70" t="s">
        <v>245</v>
      </c>
      <c r="J17" s="70" t="s">
        <v>245</v>
      </c>
      <c r="K17" s="70" t="s">
        <v>245</v>
      </c>
      <c r="L17" s="70" t="s">
        <v>245</v>
      </c>
      <c r="M17" s="70" t="s">
        <v>245</v>
      </c>
      <c r="N17" s="70" t="s">
        <v>301</v>
      </c>
      <c r="O17" s="70" t="s">
        <v>302</v>
      </c>
      <c r="P17" s="70" t="s">
        <v>303</v>
      </c>
      <c r="Q17" s="70" t="s">
        <v>245</v>
      </c>
      <c r="R17" s="70" t="s">
        <v>245</v>
      </c>
      <c r="S17" s="70" t="s">
        <v>245</v>
      </c>
      <c r="T17" s="70" t="s">
        <v>287</v>
      </c>
      <c r="U17" s="70" t="s">
        <v>304</v>
      </c>
      <c r="V17" s="72" t="s">
        <v>305</v>
      </c>
      <c r="W17" s="70" t="s">
        <v>306</v>
      </c>
      <c r="X17" s="73">
        <v>60210956</v>
      </c>
      <c r="Y17" s="44" t="s">
        <v>307</v>
      </c>
      <c r="Z17" s="73" t="s">
        <v>256</v>
      </c>
      <c r="AA17" s="73" t="s">
        <v>256</v>
      </c>
      <c r="AB17" s="73" t="s">
        <v>258</v>
      </c>
      <c r="AC17" s="73" t="s">
        <v>258</v>
      </c>
      <c r="AD17" s="73" t="s">
        <v>258</v>
      </c>
      <c r="AE17" s="73" t="s">
        <v>245</v>
      </c>
      <c r="AF17" s="73" t="s">
        <v>259</v>
      </c>
      <c r="AG17" s="73" t="s">
        <v>256</v>
      </c>
      <c r="AH17" s="73" t="s">
        <v>256</v>
      </c>
      <c r="AI17" s="73" t="s">
        <v>256</v>
      </c>
      <c r="AJ17" s="73" t="s">
        <v>256</v>
      </c>
      <c r="AK17" s="69" t="s">
        <v>308</v>
      </c>
      <c r="AL17" s="69" t="s">
        <v>309</v>
      </c>
      <c r="AM17" s="73" t="s">
        <v>256</v>
      </c>
      <c r="AN17" s="73" t="s">
        <v>310</v>
      </c>
      <c r="AO17" s="73">
        <v>2</v>
      </c>
      <c r="AP17" s="73" t="s">
        <v>256</v>
      </c>
      <c r="AQ17" s="73" t="s">
        <v>256</v>
      </c>
      <c r="AR17" s="73" t="s">
        <v>267</v>
      </c>
      <c r="AS17" s="73" t="s">
        <v>263</v>
      </c>
      <c r="AT17" s="73" t="s">
        <v>263</v>
      </c>
      <c r="AU17" s="73" t="s">
        <v>263</v>
      </c>
      <c r="AV17" s="73" t="s">
        <v>256</v>
      </c>
      <c r="AW17" s="73" t="s">
        <v>264</v>
      </c>
      <c r="AX17" s="44" t="s">
        <v>311</v>
      </c>
      <c r="AY17" s="69">
        <v>63146739</v>
      </c>
      <c r="AZ17" s="69" t="s">
        <v>312</v>
      </c>
      <c r="BA17" s="70" t="s">
        <v>309</v>
      </c>
      <c r="BB17" s="73" t="s">
        <v>256</v>
      </c>
      <c r="BC17" s="73">
        <v>0</v>
      </c>
      <c r="BD17" s="73">
        <v>6</v>
      </c>
      <c r="BE17" s="73" t="s">
        <v>256</v>
      </c>
      <c r="BF17" s="73" t="s">
        <v>256</v>
      </c>
      <c r="BG17" s="73" t="s">
        <v>267</v>
      </c>
      <c r="BH17" s="73" t="s">
        <v>263</v>
      </c>
      <c r="BI17" s="73" t="s">
        <v>263</v>
      </c>
      <c r="BJ17" s="73" t="s">
        <v>263</v>
      </c>
      <c r="BK17" s="73" t="s">
        <v>256</v>
      </c>
      <c r="BL17" s="70" t="s">
        <v>264</v>
      </c>
      <c r="BM17" s="44" t="s">
        <v>313</v>
      </c>
      <c r="BN17" s="69">
        <v>86965576</v>
      </c>
      <c r="BO17" s="70" t="s">
        <v>314</v>
      </c>
      <c r="BP17" s="70" t="s">
        <v>315</v>
      </c>
      <c r="BQ17" s="73" t="s">
        <v>256</v>
      </c>
      <c r="BR17" s="73">
        <v>3</v>
      </c>
      <c r="BS17" s="73">
        <v>8</v>
      </c>
      <c r="BT17" s="73" t="s">
        <v>256</v>
      </c>
      <c r="BU17" s="73" t="s">
        <v>256</v>
      </c>
      <c r="BV17" s="73" t="s">
        <v>267</v>
      </c>
      <c r="BW17" s="73" t="s">
        <v>263</v>
      </c>
      <c r="BX17" s="73" t="s">
        <v>263</v>
      </c>
      <c r="BY17" s="73" t="s">
        <v>263</v>
      </c>
      <c r="BZ17" s="73" t="s">
        <v>256</v>
      </c>
      <c r="CA17" s="70" t="s">
        <v>264</v>
      </c>
      <c r="CB17" s="45" t="s">
        <v>316</v>
      </c>
      <c r="CC17" s="73">
        <v>89869926</v>
      </c>
      <c r="CD17" s="70" t="s">
        <v>317</v>
      </c>
      <c r="CE17" s="70" t="s">
        <v>315</v>
      </c>
      <c r="CF17" s="73" t="s">
        <v>256</v>
      </c>
      <c r="CG17" s="73">
        <v>4</v>
      </c>
      <c r="CH17" s="73">
        <v>4</v>
      </c>
      <c r="CI17" s="73" t="s">
        <v>256</v>
      </c>
      <c r="CJ17" s="73" t="s">
        <v>256</v>
      </c>
      <c r="CK17" s="73" t="s">
        <v>267</v>
      </c>
      <c r="CL17" s="73" t="s">
        <v>263</v>
      </c>
      <c r="CM17" s="73" t="s">
        <v>263</v>
      </c>
      <c r="CN17" s="73" t="s">
        <v>263</v>
      </c>
      <c r="CO17" s="73" t="s">
        <v>256</v>
      </c>
      <c r="CP17" s="73" t="s">
        <v>264</v>
      </c>
      <c r="CQ17" s="44" t="s">
        <v>318</v>
      </c>
      <c r="CR17" s="73">
        <v>70186962</v>
      </c>
      <c r="CS17" s="69" t="s">
        <v>319</v>
      </c>
      <c r="CT17" s="70" t="s">
        <v>315</v>
      </c>
      <c r="CU17" s="73" t="s">
        <v>256</v>
      </c>
      <c r="CV17" s="73">
        <v>7</v>
      </c>
      <c r="CW17" s="73">
        <v>7</v>
      </c>
      <c r="CX17" s="73" t="s">
        <v>256</v>
      </c>
      <c r="CY17" s="73" t="s">
        <v>256</v>
      </c>
      <c r="CZ17" s="73" t="s">
        <v>267</v>
      </c>
      <c r="DA17" s="73" t="s">
        <v>263</v>
      </c>
      <c r="DB17" s="73" t="s">
        <v>263</v>
      </c>
      <c r="DC17" s="73" t="s">
        <v>275</v>
      </c>
      <c r="DD17" s="73" t="s">
        <v>256</v>
      </c>
      <c r="DE17" s="73" t="s">
        <v>264</v>
      </c>
      <c r="DF17" s="45" t="s">
        <v>320</v>
      </c>
      <c r="DG17" s="73">
        <v>60564059</v>
      </c>
      <c r="DH17" s="70" t="s">
        <v>321</v>
      </c>
      <c r="DI17" s="70" t="s">
        <v>322</v>
      </c>
      <c r="DJ17" s="73" t="s">
        <v>256</v>
      </c>
      <c r="DK17" s="73">
        <v>0</v>
      </c>
      <c r="DL17" s="73">
        <v>5</v>
      </c>
      <c r="DM17" s="73" t="s">
        <v>256</v>
      </c>
      <c r="DN17" s="73" t="s">
        <v>256</v>
      </c>
      <c r="DO17" s="73" t="s">
        <v>267</v>
      </c>
      <c r="DP17" s="73" t="s">
        <v>263</v>
      </c>
      <c r="DQ17" s="73" t="s">
        <v>263</v>
      </c>
      <c r="DR17" s="73" t="s">
        <v>263</v>
      </c>
      <c r="DS17" s="73" t="s">
        <v>256</v>
      </c>
      <c r="DT17" s="70" t="s">
        <v>264</v>
      </c>
      <c r="DU17" s="45" t="s">
        <v>323</v>
      </c>
      <c r="DV17" s="73">
        <v>71749441</v>
      </c>
      <c r="DW17" s="70" t="s">
        <v>324</v>
      </c>
      <c r="DX17" s="70" t="s">
        <v>325</v>
      </c>
      <c r="DY17" s="73" t="s">
        <v>256</v>
      </c>
      <c r="DZ17" s="73">
        <v>9</v>
      </c>
      <c r="EA17" s="73">
        <v>10</v>
      </c>
      <c r="EB17" s="73" t="s">
        <v>256</v>
      </c>
      <c r="EC17" s="73" t="s">
        <v>256</v>
      </c>
      <c r="ED17" s="73" t="s">
        <v>262</v>
      </c>
      <c r="EE17" s="73" t="s">
        <v>275</v>
      </c>
      <c r="EF17" s="73" t="s">
        <v>263</v>
      </c>
      <c r="EG17" s="73" t="s">
        <v>263</v>
      </c>
      <c r="EH17" s="73" t="s">
        <v>256</v>
      </c>
      <c r="EI17" s="69" t="s">
        <v>264</v>
      </c>
      <c r="EJ17" s="45" t="s">
        <v>307</v>
      </c>
      <c r="EK17" s="70">
        <v>60210956</v>
      </c>
      <c r="EL17" s="70" t="s">
        <v>245</v>
      </c>
      <c r="EM17" s="70" t="s">
        <v>245</v>
      </c>
      <c r="EN17" s="73" t="s">
        <v>245</v>
      </c>
      <c r="EO17" s="73" t="s">
        <v>245</v>
      </c>
      <c r="EP17" s="73" t="s">
        <v>245</v>
      </c>
      <c r="EQ17" s="73" t="s">
        <v>245</v>
      </c>
      <c r="ER17" s="73" t="s">
        <v>245</v>
      </c>
      <c r="ES17" s="73" t="s">
        <v>245</v>
      </c>
      <c r="ET17" s="73" t="s">
        <v>245</v>
      </c>
      <c r="EU17" s="73" t="s">
        <v>245</v>
      </c>
      <c r="EV17" s="73" t="s">
        <v>245</v>
      </c>
      <c r="EW17" s="73" t="s">
        <v>245</v>
      </c>
      <c r="EX17" s="73" t="s">
        <v>245</v>
      </c>
      <c r="EY17" s="70" t="s">
        <v>245</v>
      </c>
      <c r="EZ17" s="73" t="s">
        <v>245</v>
      </c>
      <c r="FA17" s="70" t="s">
        <v>326</v>
      </c>
      <c r="FB17" s="70" t="s">
        <v>277</v>
      </c>
      <c r="FC17" s="73">
        <v>2020</v>
      </c>
      <c r="FD17" s="73" t="s">
        <v>327</v>
      </c>
      <c r="FE17" s="73" t="s">
        <v>328</v>
      </c>
      <c r="FF17" s="73" t="s">
        <v>275</v>
      </c>
      <c r="FG17" s="73" t="s">
        <v>245</v>
      </c>
      <c r="FH17" s="73" t="s">
        <v>275</v>
      </c>
      <c r="FI17" s="73" t="s">
        <v>275</v>
      </c>
      <c r="FJ17" s="70" t="s">
        <v>275</v>
      </c>
      <c r="FK17" s="70" t="s">
        <v>329</v>
      </c>
      <c r="FL17" s="70" t="s">
        <v>277</v>
      </c>
      <c r="FM17" s="70">
        <v>2016</v>
      </c>
      <c r="FN17" s="70" t="s">
        <v>330</v>
      </c>
      <c r="FO17" s="70" t="s">
        <v>331</v>
      </c>
      <c r="FP17" s="70" t="s">
        <v>275</v>
      </c>
      <c r="FQ17" s="70" t="s">
        <v>275</v>
      </c>
      <c r="FR17" s="70" t="s">
        <v>275</v>
      </c>
      <c r="FS17" s="70" t="s">
        <v>275</v>
      </c>
      <c r="FT17" s="70" t="s">
        <v>275</v>
      </c>
      <c r="FU17" s="70" t="s">
        <v>332</v>
      </c>
      <c r="FV17" s="70" t="s">
        <v>277</v>
      </c>
      <c r="FW17" s="70">
        <v>2019</v>
      </c>
      <c r="FX17" s="70" t="s">
        <v>333</v>
      </c>
      <c r="FY17" s="70" t="s">
        <v>334</v>
      </c>
      <c r="FZ17" s="70" t="s">
        <v>275</v>
      </c>
      <c r="GA17" s="70" t="s">
        <v>245</v>
      </c>
      <c r="GB17" s="70" t="s">
        <v>275</v>
      </c>
      <c r="GC17" s="70" t="s">
        <v>275</v>
      </c>
      <c r="GD17" s="70" t="s">
        <v>275</v>
      </c>
      <c r="GE17" s="70" t="s">
        <v>335</v>
      </c>
      <c r="GF17" s="70" t="s">
        <v>277</v>
      </c>
      <c r="GG17" s="70">
        <v>2018</v>
      </c>
      <c r="GH17" s="70" t="s">
        <v>333</v>
      </c>
      <c r="GI17" s="70" t="s">
        <v>334</v>
      </c>
      <c r="GJ17" s="70" t="s">
        <v>275</v>
      </c>
      <c r="GK17" s="70" t="s">
        <v>245</v>
      </c>
      <c r="GL17" s="70" t="s">
        <v>275</v>
      </c>
      <c r="GM17" s="70" t="s">
        <v>275</v>
      </c>
      <c r="GN17" s="70" t="s">
        <v>275</v>
      </c>
      <c r="GO17" s="70" t="s">
        <v>336</v>
      </c>
      <c r="GP17" s="70" t="s">
        <v>277</v>
      </c>
      <c r="GQ17" s="70">
        <v>2016</v>
      </c>
      <c r="GR17" s="70" t="s">
        <v>330</v>
      </c>
      <c r="GS17" s="70" t="s">
        <v>331</v>
      </c>
      <c r="GT17" s="70" t="s">
        <v>275</v>
      </c>
      <c r="GU17" s="70" t="s">
        <v>275</v>
      </c>
      <c r="GV17" s="70" t="s">
        <v>275</v>
      </c>
      <c r="GW17" s="70" t="s">
        <v>275</v>
      </c>
      <c r="GX17" s="70" t="s">
        <v>275</v>
      </c>
      <c r="GY17" s="70" t="s">
        <v>337</v>
      </c>
      <c r="GZ17" s="70" t="s">
        <v>277</v>
      </c>
      <c r="HA17" s="70">
        <v>2019</v>
      </c>
      <c r="HB17" s="70" t="s">
        <v>327</v>
      </c>
      <c r="HC17" s="70" t="s">
        <v>338</v>
      </c>
      <c r="HD17" s="70" t="s">
        <v>275</v>
      </c>
      <c r="HE17" s="70" t="s">
        <v>245</v>
      </c>
      <c r="HF17" s="70" t="s">
        <v>275</v>
      </c>
      <c r="HG17" s="70" t="s">
        <v>275</v>
      </c>
      <c r="HH17" s="70" t="s">
        <v>275</v>
      </c>
      <c r="HI17" s="70" t="s">
        <v>339</v>
      </c>
      <c r="HJ17" s="70" t="s">
        <v>277</v>
      </c>
      <c r="HK17" s="70">
        <v>2021</v>
      </c>
      <c r="HL17" s="70" t="s">
        <v>340</v>
      </c>
      <c r="HM17" s="70" t="s">
        <v>341</v>
      </c>
      <c r="HN17" s="70" t="s">
        <v>275</v>
      </c>
      <c r="HO17" s="70" t="s">
        <v>245</v>
      </c>
      <c r="HP17" s="70" t="s">
        <v>275</v>
      </c>
      <c r="HQ17" s="70" t="s">
        <v>275</v>
      </c>
      <c r="HR17" s="70" t="s">
        <v>275</v>
      </c>
      <c r="HS17" s="70" t="s">
        <v>245</v>
      </c>
      <c r="HT17" s="70" t="s">
        <v>245</v>
      </c>
      <c r="HU17" s="70" t="s">
        <v>245</v>
      </c>
      <c r="HV17" s="70" t="s">
        <v>245</v>
      </c>
      <c r="HW17" s="70" t="s">
        <v>245</v>
      </c>
      <c r="HX17" s="70" t="s">
        <v>245</v>
      </c>
      <c r="HY17" s="70" t="s">
        <v>245</v>
      </c>
      <c r="HZ17" s="70" t="s">
        <v>245</v>
      </c>
      <c r="IA17" s="70" t="s">
        <v>245</v>
      </c>
      <c r="IB17" s="70" t="s">
        <v>245</v>
      </c>
      <c r="IC17" s="70">
        <f>AVERAGE(Tabla1[[#This Row],[Año 5]],Tabla1[[#This Row],[Año 4]],Tabla1[[#This Row],[Año 3]],Tabla1[[#This Row],[Año 2]],Tabla1[[#This Row],[Año]])</f>
        <v>2017.8</v>
      </c>
    </row>
    <row r="18" spans="2:237" s="1" customFormat="1" ht="14" x14ac:dyDescent="0.3">
      <c r="B18" s="68">
        <v>4</v>
      </c>
      <c r="C18" s="1" t="s">
        <v>342</v>
      </c>
      <c r="D18" s="69" t="s">
        <v>343</v>
      </c>
      <c r="E18" s="69" t="s">
        <v>246</v>
      </c>
      <c r="F18" s="13" t="s">
        <v>344</v>
      </c>
      <c r="G18" s="69" t="s">
        <v>345</v>
      </c>
      <c r="H18" s="70" t="s">
        <v>245</v>
      </c>
      <c r="I18" s="70" t="s">
        <v>245</v>
      </c>
      <c r="J18" s="70" t="s">
        <v>245</v>
      </c>
      <c r="K18" s="70" t="s">
        <v>245</v>
      </c>
      <c r="L18" s="70" t="s">
        <v>245</v>
      </c>
      <c r="M18" s="70" t="s">
        <v>245</v>
      </c>
      <c r="N18" s="70" t="s">
        <v>346</v>
      </c>
      <c r="O18" s="70" t="s">
        <v>347</v>
      </c>
      <c r="P18" s="70" t="s">
        <v>348</v>
      </c>
      <c r="Q18" s="70" t="s">
        <v>245</v>
      </c>
      <c r="R18" s="70" t="s">
        <v>245</v>
      </c>
      <c r="S18" s="70" t="s">
        <v>245</v>
      </c>
      <c r="T18" s="70" t="s">
        <v>251</v>
      </c>
      <c r="U18" s="70" t="s">
        <v>349</v>
      </c>
      <c r="V18" s="70" t="s">
        <v>350</v>
      </c>
      <c r="W18" s="73" t="s">
        <v>342</v>
      </c>
      <c r="X18" s="75">
        <v>62480665</v>
      </c>
      <c r="Y18" s="44" t="s">
        <v>351</v>
      </c>
      <c r="Z18" s="73" t="s">
        <v>256</v>
      </c>
      <c r="AA18" s="73" t="s">
        <v>256</v>
      </c>
      <c r="AB18" s="73" t="s">
        <v>257</v>
      </c>
      <c r="AC18" s="73" t="s">
        <v>258</v>
      </c>
      <c r="AD18" s="73" t="s">
        <v>258</v>
      </c>
      <c r="AE18" s="73" t="s">
        <v>245</v>
      </c>
      <c r="AF18" s="73" t="s">
        <v>259</v>
      </c>
      <c r="AG18" s="73" t="s">
        <v>256</v>
      </c>
      <c r="AH18" s="73" t="s">
        <v>256</v>
      </c>
      <c r="AI18" s="73" t="s">
        <v>256</v>
      </c>
      <c r="AJ18" s="73" t="s">
        <v>256</v>
      </c>
      <c r="AK18" s="69" t="s">
        <v>352</v>
      </c>
      <c r="AL18" s="69" t="s">
        <v>353</v>
      </c>
      <c r="AM18" s="73" t="s">
        <v>256</v>
      </c>
      <c r="AN18" s="73" t="s">
        <v>354</v>
      </c>
      <c r="AO18" s="73">
        <v>3</v>
      </c>
      <c r="AP18" s="73" t="s">
        <v>256</v>
      </c>
      <c r="AQ18" s="73" t="s">
        <v>256</v>
      </c>
      <c r="AR18" s="73" t="s">
        <v>262</v>
      </c>
      <c r="AS18" s="73" t="s">
        <v>263</v>
      </c>
      <c r="AT18" s="73" t="s">
        <v>263</v>
      </c>
      <c r="AU18" s="73" t="s">
        <v>263</v>
      </c>
      <c r="AV18" s="73" t="s">
        <v>256</v>
      </c>
      <c r="AW18" s="73" t="s">
        <v>264</v>
      </c>
      <c r="AX18" s="43" t="s">
        <v>355</v>
      </c>
      <c r="AY18" s="69">
        <v>87860022</v>
      </c>
      <c r="AZ18" s="69" t="s">
        <v>356</v>
      </c>
      <c r="BA18" s="70" t="s">
        <v>357</v>
      </c>
      <c r="BB18" s="73" t="s">
        <v>256</v>
      </c>
      <c r="BC18" s="73">
        <v>8</v>
      </c>
      <c r="BD18" s="73">
        <v>17</v>
      </c>
      <c r="BE18" s="73" t="s">
        <v>256</v>
      </c>
      <c r="BF18" s="73" t="s">
        <v>256</v>
      </c>
      <c r="BG18" s="73" t="s">
        <v>262</v>
      </c>
      <c r="BH18" s="73" t="s">
        <v>263</v>
      </c>
      <c r="BI18" s="73" t="s">
        <v>275</v>
      </c>
      <c r="BJ18" s="73" t="s">
        <v>263</v>
      </c>
      <c r="BK18" s="73" t="s">
        <v>256</v>
      </c>
      <c r="BL18" s="70" t="s">
        <v>264</v>
      </c>
      <c r="BM18" s="44" t="s">
        <v>351</v>
      </c>
      <c r="BN18" s="69">
        <v>62480665</v>
      </c>
      <c r="BO18" s="70" t="s">
        <v>358</v>
      </c>
      <c r="BP18" s="70" t="s">
        <v>359</v>
      </c>
      <c r="BQ18" s="73" t="s">
        <v>256</v>
      </c>
      <c r="BR18" s="73">
        <v>2</v>
      </c>
      <c r="BS18" s="73">
        <v>29</v>
      </c>
      <c r="BT18" s="73" t="s">
        <v>256</v>
      </c>
      <c r="BU18" s="73" t="s">
        <v>256</v>
      </c>
      <c r="BV18" s="73" t="s">
        <v>262</v>
      </c>
      <c r="BW18" s="73" t="s">
        <v>263</v>
      </c>
      <c r="BX18" s="73" t="s">
        <v>263</v>
      </c>
      <c r="BY18" s="73" t="s">
        <v>263</v>
      </c>
      <c r="BZ18" s="73" t="s">
        <v>256</v>
      </c>
      <c r="CA18" s="70" t="s">
        <v>264</v>
      </c>
      <c r="CB18" s="45" t="s">
        <v>355</v>
      </c>
      <c r="CC18" s="73">
        <v>87860022</v>
      </c>
      <c r="CD18" s="70" t="s">
        <v>360</v>
      </c>
      <c r="CE18" s="70" t="s">
        <v>359</v>
      </c>
      <c r="CF18" s="73" t="s">
        <v>256</v>
      </c>
      <c r="CG18" s="73">
        <v>2</v>
      </c>
      <c r="CH18" s="73">
        <v>27</v>
      </c>
      <c r="CI18" s="73" t="s">
        <v>256</v>
      </c>
      <c r="CJ18" s="73" t="s">
        <v>256</v>
      </c>
      <c r="CK18" s="73" t="s">
        <v>262</v>
      </c>
      <c r="CL18" s="73" t="s">
        <v>263</v>
      </c>
      <c r="CM18" s="73" t="s">
        <v>263</v>
      </c>
      <c r="CN18" s="73" t="s">
        <v>263</v>
      </c>
      <c r="CO18" s="73" t="s">
        <v>256</v>
      </c>
      <c r="CP18" s="73" t="s">
        <v>264</v>
      </c>
      <c r="CQ18" s="44" t="s">
        <v>361</v>
      </c>
      <c r="CR18" s="73">
        <v>64357937</v>
      </c>
      <c r="CS18" s="69" t="s">
        <v>245</v>
      </c>
      <c r="CT18" s="70" t="s">
        <v>245</v>
      </c>
      <c r="CU18" s="73" t="s">
        <v>245</v>
      </c>
      <c r="CV18" s="73" t="s">
        <v>245</v>
      </c>
      <c r="CW18" s="73" t="s">
        <v>245</v>
      </c>
      <c r="CX18" s="73" t="s">
        <v>245</v>
      </c>
      <c r="CY18" s="73" t="s">
        <v>245</v>
      </c>
      <c r="CZ18" s="73" t="s">
        <v>245</v>
      </c>
      <c r="DA18" s="73" t="s">
        <v>245</v>
      </c>
      <c r="DB18" s="73" t="s">
        <v>245</v>
      </c>
      <c r="DC18" s="73" t="s">
        <v>245</v>
      </c>
      <c r="DD18" s="73" t="s">
        <v>245</v>
      </c>
      <c r="DE18" s="73" t="s">
        <v>245</v>
      </c>
      <c r="DF18" s="70" t="s">
        <v>245</v>
      </c>
      <c r="DG18" s="73" t="s">
        <v>245</v>
      </c>
      <c r="DH18" s="70" t="s">
        <v>245</v>
      </c>
      <c r="DI18" s="70" t="s">
        <v>245</v>
      </c>
      <c r="DJ18" s="73" t="s">
        <v>245</v>
      </c>
      <c r="DK18" s="73" t="s">
        <v>245</v>
      </c>
      <c r="DL18" s="73" t="s">
        <v>245</v>
      </c>
      <c r="DM18" s="73" t="s">
        <v>245</v>
      </c>
      <c r="DN18" s="73" t="s">
        <v>245</v>
      </c>
      <c r="DO18" s="73" t="s">
        <v>245</v>
      </c>
      <c r="DP18" s="73" t="s">
        <v>245</v>
      </c>
      <c r="DQ18" s="73" t="s">
        <v>245</v>
      </c>
      <c r="DR18" s="73" t="s">
        <v>245</v>
      </c>
      <c r="DS18" s="73" t="s">
        <v>245</v>
      </c>
      <c r="DT18" s="70" t="s">
        <v>245</v>
      </c>
      <c r="DU18" s="70" t="s">
        <v>245</v>
      </c>
      <c r="DV18" s="73" t="s">
        <v>245</v>
      </c>
      <c r="DW18" s="70" t="s">
        <v>245</v>
      </c>
      <c r="DX18" s="70" t="s">
        <v>245</v>
      </c>
      <c r="DY18" s="73" t="s">
        <v>245</v>
      </c>
      <c r="DZ18" s="73" t="s">
        <v>245</v>
      </c>
      <c r="EA18" s="73" t="s">
        <v>245</v>
      </c>
      <c r="EB18" s="73" t="s">
        <v>245</v>
      </c>
      <c r="EC18" s="73" t="s">
        <v>245</v>
      </c>
      <c r="ED18" s="73" t="s">
        <v>245</v>
      </c>
      <c r="EE18" s="73" t="s">
        <v>245</v>
      </c>
      <c r="EF18" s="73" t="s">
        <v>245</v>
      </c>
      <c r="EG18" s="73" t="s">
        <v>245</v>
      </c>
      <c r="EH18" s="73" t="s">
        <v>245</v>
      </c>
      <c r="EI18" s="69" t="s">
        <v>245</v>
      </c>
      <c r="EJ18" s="70" t="s">
        <v>245</v>
      </c>
      <c r="EK18" s="70" t="s">
        <v>245</v>
      </c>
      <c r="EL18" s="70" t="s">
        <v>245</v>
      </c>
      <c r="EM18" s="70" t="s">
        <v>245</v>
      </c>
      <c r="EN18" s="73" t="s">
        <v>245</v>
      </c>
      <c r="EO18" s="73" t="s">
        <v>245</v>
      </c>
      <c r="EP18" s="73" t="s">
        <v>245</v>
      </c>
      <c r="EQ18" s="73" t="s">
        <v>245</v>
      </c>
      <c r="ER18" s="73" t="s">
        <v>245</v>
      </c>
      <c r="ES18" s="73" t="s">
        <v>245</v>
      </c>
      <c r="ET18" s="73" t="s">
        <v>245</v>
      </c>
      <c r="EU18" s="73" t="s">
        <v>245</v>
      </c>
      <c r="EV18" s="73" t="s">
        <v>245</v>
      </c>
      <c r="EW18" s="73" t="s">
        <v>245</v>
      </c>
      <c r="EX18" s="73" t="s">
        <v>245</v>
      </c>
      <c r="EY18" s="70" t="s">
        <v>245</v>
      </c>
      <c r="EZ18" s="73" t="s">
        <v>245</v>
      </c>
      <c r="FA18" s="70" t="s">
        <v>362</v>
      </c>
      <c r="FB18" s="70" t="s">
        <v>277</v>
      </c>
      <c r="FC18" s="73">
        <v>2017</v>
      </c>
      <c r="FD18" s="73" t="s">
        <v>363</v>
      </c>
      <c r="FE18" s="73" t="s">
        <v>364</v>
      </c>
      <c r="FF18" s="73" t="s">
        <v>275</v>
      </c>
      <c r="FG18" s="73" t="s">
        <v>275</v>
      </c>
      <c r="FH18" s="73" t="s">
        <v>275</v>
      </c>
      <c r="FI18" s="73" t="s">
        <v>275</v>
      </c>
      <c r="FJ18" s="70" t="s">
        <v>275</v>
      </c>
      <c r="FK18" s="70" t="s">
        <v>365</v>
      </c>
      <c r="FL18" s="70" t="s">
        <v>277</v>
      </c>
      <c r="FM18" s="70">
        <v>2020</v>
      </c>
      <c r="FN18" s="70" t="s">
        <v>366</v>
      </c>
      <c r="FO18" s="70" t="s">
        <v>367</v>
      </c>
      <c r="FP18" s="70" t="s">
        <v>275</v>
      </c>
      <c r="FQ18" s="70" t="s">
        <v>245</v>
      </c>
      <c r="FR18" s="70" t="s">
        <v>275</v>
      </c>
      <c r="FS18" s="70" t="s">
        <v>275</v>
      </c>
      <c r="FT18" s="70" t="s">
        <v>275</v>
      </c>
      <c r="FU18" s="70" t="s">
        <v>368</v>
      </c>
      <c r="FV18" s="70" t="s">
        <v>277</v>
      </c>
      <c r="FW18" s="70">
        <v>2022</v>
      </c>
      <c r="FX18" s="70" t="s">
        <v>278</v>
      </c>
      <c r="FY18" s="70" t="s">
        <v>369</v>
      </c>
      <c r="FZ18" s="70" t="s">
        <v>275</v>
      </c>
      <c r="GA18" s="70" t="s">
        <v>245</v>
      </c>
      <c r="GB18" s="70" t="s">
        <v>275</v>
      </c>
      <c r="GC18" s="70" t="s">
        <v>275</v>
      </c>
      <c r="GD18" s="70" t="s">
        <v>275</v>
      </c>
      <c r="GE18" s="70" t="s">
        <v>370</v>
      </c>
      <c r="GF18" s="70" t="s">
        <v>277</v>
      </c>
      <c r="GG18" s="70">
        <v>2016</v>
      </c>
      <c r="GH18" s="70" t="s">
        <v>278</v>
      </c>
      <c r="GI18" s="70" t="s">
        <v>371</v>
      </c>
      <c r="GJ18" s="70" t="s">
        <v>275</v>
      </c>
      <c r="GK18" s="70" t="s">
        <v>245</v>
      </c>
      <c r="GL18" s="70" t="s">
        <v>275</v>
      </c>
      <c r="GM18" s="70" t="s">
        <v>275</v>
      </c>
      <c r="GN18" s="70" t="s">
        <v>275</v>
      </c>
      <c r="GO18" s="70" t="s">
        <v>245</v>
      </c>
      <c r="GP18" s="70" t="s">
        <v>245</v>
      </c>
      <c r="GQ18" s="70" t="s">
        <v>245</v>
      </c>
      <c r="GR18" s="70" t="s">
        <v>245</v>
      </c>
      <c r="GS18" s="70" t="s">
        <v>245</v>
      </c>
      <c r="GT18" s="70" t="s">
        <v>245</v>
      </c>
      <c r="GU18" s="70" t="s">
        <v>245</v>
      </c>
      <c r="GV18" s="70" t="s">
        <v>245</v>
      </c>
      <c r="GW18" s="70" t="s">
        <v>245</v>
      </c>
      <c r="GX18" s="70" t="s">
        <v>245</v>
      </c>
      <c r="GY18" s="70" t="s">
        <v>245</v>
      </c>
      <c r="GZ18" s="70" t="s">
        <v>245</v>
      </c>
      <c r="HA18" s="70" t="s">
        <v>245</v>
      </c>
      <c r="HB18" s="70" t="s">
        <v>245</v>
      </c>
      <c r="HC18" s="70" t="s">
        <v>245</v>
      </c>
      <c r="HD18" s="70" t="s">
        <v>245</v>
      </c>
      <c r="HE18" s="70" t="s">
        <v>245</v>
      </c>
      <c r="HF18" s="70" t="s">
        <v>245</v>
      </c>
      <c r="HG18" s="70" t="s">
        <v>245</v>
      </c>
      <c r="HH18" s="70" t="s">
        <v>245</v>
      </c>
      <c r="HI18" s="70" t="s">
        <v>245</v>
      </c>
      <c r="HJ18" s="70" t="s">
        <v>245</v>
      </c>
      <c r="HK18" s="70" t="s">
        <v>245</v>
      </c>
      <c r="HL18" s="70" t="s">
        <v>245</v>
      </c>
      <c r="HM18" s="70" t="s">
        <v>245</v>
      </c>
      <c r="HN18" s="70" t="s">
        <v>245</v>
      </c>
      <c r="HO18" s="70" t="s">
        <v>245</v>
      </c>
      <c r="HP18" s="70" t="s">
        <v>245</v>
      </c>
      <c r="HQ18" s="70" t="s">
        <v>245</v>
      </c>
      <c r="HR18" s="70" t="s">
        <v>245</v>
      </c>
      <c r="HS18" s="70" t="s">
        <v>245</v>
      </c>
      <c r="HT18" s="70" t="s">
        <v>245</v>
      </c>
      <c r="HU18" s="70" t="s">
        <v>245</v>
      </c>
      <c r="HV18" s="70" t="s">
        <v>245</v>
      </c>
      <c r="HW18" s="70" t="s">
        <v>245</v>
      </c>
      <c r="HX18" s="70" t="s">
        <v>245</v>
      </c>
      <c r="HY18" s="70" t="s">
        <v>245</v>
      </c>
      <c r="HZ18" s="70" t="s">
        <v>245</v>
      </c>
      <c r="IA18" s="70" t="s">
        <v>245</v>
      </c>
      <c r="IB18" s="70" t="s">
        <v>245</v>
      </c>
      <c r="IC18" s="70">
        <f>AVERAGE(Tabla1[[#This Row],[Año 5]],Tabla1[[#This Row],[Año 4]],Tabla1[[#This Row],[Año 3]],Tabla1[[#This Row],[Año 2]],Tabla1[[#This Row],[Año]])</f>
        <v>2018.75</v>
      </c>
    </row>
    <row r="19" spans="2:237" s="1" customFormat="1" ht="14" x14ac:dyDescent="0.3">
      <c r="B19" s="68">
        <v>5</v>
      </c>
      <c r="C19" s="1" t="s">
        <v>372</v>
      </c>
      <c r="D19" s="69" t="s">
        <v>245</v>
      </c>
      <c r="E19" s="69" t="s">
        <v>246</v>
      </c>
      <c r="F19" s="13" t="s">
        <v>373</v>
      </c>
      <c r="G19" s="69" t="s">
        <v>374</v>
      </c>
      <c r="H19" s="70" t="s">
        <v>245</v>
      </c>
      <c r="I19" s="70" t="s">
        <v>245</v>
      </c>
      <c r="J19" s="70" t="s">
        <v>245</v>
      </c>
      <c r="K19" s="70" t="s">
        <v>245</v>
      </c>
      <c r="L19" s="70" t="s">
        <v>245</v>
      </c>
      <c r="M19" s="70" t="s">
        <v>245</v>
      </c>
      <c r="N19" s="70" t="s">
        <v>375</v>
      </c>
      <c r="O19" s="70" t="s">
        <v>376</v>
      </c>
      <c r="P19" s="70" t="s">
        <v>377</v>
      </c>
      <c r="Q19" s="70" t="s">
        <v>245</v>
      </c>
      <c r="R19" s="70" t="s">
        <v>245</v>
      </c>
      <c r="S19" s="70" t="s">
        <v>245</v>
      </c>
      <c r="T19" s="70" t="s">
        <v>251</v>
      </c>
      <c r="U19" s="70" t="s">
        <v>378</v>
      </c>
      <c r="V19" s="70" t="s">
        <v>379</v>
      </c>
      <c r="W19" s="73" t="s">
        <v>380</v>
      </c>
      <c r="X19" s="73">
        <v>87253183</v>
      </c>
      <c r="Y19" s="44" t="s">
        <v>381</v>
      </c>
      <c r="Z19" s="73" t="s">
        <v>256</v>
      </c>
      <c r="AA19" s="73" t="s">
        <v>256</v>
      </c>
      <c r="AB19" s="73" t="s">
        <v>257</v>
      </c>
      <c r="AC19" s="73" t="s">
        <v>258</v>
      </c>
      <c r="AD19" s="73" t="s">
        <v>382</v>
      </c>
      <c r="AE19" s="73" t="s">
        <v>245</v>
      </c>
      <c r="AF19" s="73" t="s">
        <v>259</v>
      </c>
      <c r="AG19" s="73" t="s">
        <v>256</v>
      </c>
      <c r="AH19" s="73" t="s">
        <v>256</v>
      </c>
      <c r="AI19" s="73" t="s">
        <v>256</v>
      </c>
      <c r="AJ19" s="73" t="s">
        <v>256</v>
      </c>
      <c r="AK19" s="69" t="s">
        <v>383</v>
      </c>
      <c r="AL19" s="69" t="s">
        <v>384</v>
      </c>
      <c r="AM19" s="73" t="s">
        <v>256</v>
      </c>
      <c r="AN19" s="73">
        <v>1</v>
      </c>
      <c r="AO19" s="73">
        <v>2</v>
      </c>
      <c r="AP19" s="73" t="s">
        <v>256</v>
      </c>
      <c r="AQ19" s="73" t="s">
        <v>256</v>
      </c>
      <c r="AR19" s="73" t="s">
        <v>262</v>
      </c>
      <c r="AS19" s="73" t="s">
        <v>263</v>
      </c>
      <c r="AT19" s="73" t="s">
        <v>263</v>
      </c>
      <c r="AU19" s="73" t="s">
        <v>263</v>
      </c>
      <c r="AV19" s="73" t="s">
        <v>256</v>
      </c>
      <c r="AW19" s="73" t="s">
        <v>264</v>
      </c>
      <c r="AX19" s="44" t="s">
        <v>385</v>
      </c>
      <c r="AY19" s="69">
        <v>61808045</v>
      </c>
      <c r="AZ19" s="69" t="s">
        <v>386</v>
      </c>
      <c r="BA19" s="70" t="s">
        <v>387</v>
      </c>
      <c r="BB19" s="73" t="s">
        <v>256</v>
      </c>
      <c r="BC19" s="73">
        <v>9</v>
      </c>
      <c r="BD19" s="73">
        <v>9</v>
      </c>
      <c r="BE19" s="73" t="s">
        <v>256</v>
      </c>
      <c r="BF19" s="73" t="s">
        <v>256</v>
      </c>
      <c r="BG19" s="73" t="s">
        <v>262</v>
      </c>
      <c r="BH19" s="73" t="s">
        <v>263</v>
      </c>
      <c r="BI19" s="73" t="s">
        <v>263</v>
      </c>
      <c r="BJ19" s="73" t="s">
        <v>275</v>
      </c>
      <c r="BK19" s="73" t="s">
        <v>256</v>
      </c>
      <c r="BL19" s="70" t="s">
        <v>264</v>
      </c>
      <c r="BM19" s="44" t="s">
        <v>381</v>
      </c>
      <c r="BN19" s="69" t="s">
        <v>388</v>
      </c>
      <c r="BO19" s="70" t="s">
        <v>389</v>
      </c>
      <c r="BP19" s="70" t="s">
        <v>390</v>
      </c>
      <c r="BQ19" s="73" t="s">
        <v>256</v>
      </c>
      <c r="BR19" s="73">
        <v>9</v>
      </c>
      <c r="BS19" s="73">
        <v>9</v>
      </c>
      <c r="BT19" s="73" t="s">
        <v>256</v>
      </c>
      <c r="BU19" s="73" t="s">
        <v>256</v>
      </c>
      <c r="BV19" s="73" t="s">
        <v>391</v>
      </c>
      <c r="BW19" s="73" t="s">
        <v>263</v>
      </c>
      <c r="BX19" s="73" t="s">
        <v>263</v>
      </c>
      <c r="BY19" s="73" t="s">
        <v>263</v>
      </c>
      <c r="BZ19" s="73" t="s">
        <v>256</v>
      </c>
      <c r="CA19" s="70" t="s">
        <v>264</v>
      </c>
      <c r="CB19" s="45" t="s">
        <v>392</v>
      </c>
      <c r="CC19" s="73">
        <v>88189895</v>
      </c>
      <c r="CD19" s="70" t="s">
        <v>393</v>
      </c>
      <c r="CE19" s="70" t="s">
        <v>394</v>
      </c>
      <c r="CF19" s="73" t="s">
        <v>256</v>
      </c>
      <c r="CG19" s="73">
        <v>5</v>
      </c>
      <c r="CH19" s="73">
        <v>10</v>
      </c>
      <c r="CI19" s="73" t="s">
        <v>256</v>
      </c>
      <c r="CJ19" s="73" t="s">
        <v>256</v>
      </c>
      <c r="CK19" s="73" t="s">
        <v>267</v>
      </c>
      <c r="CL19" s="73" t="s">
        <v>263</v>
      </c>
      <c r="CM19" s="73" t="s">
        <v>263</v>
      </c>
      <c r="CN19" s="73" t="s">
        <v>263</v>
      </c>
      <c r="CO19" s="73" t="s">
        <v>256</v>
      </c>
      <c r="CP19" s="73" t="s">
        <v>264</v>
      </c>
      <c r="CQ19" s="44" t="s">
        <v>395</v>
      </c>
      <c r="CR19" s="73">
        <v>60493333</v>
      </c>
      <c r="CS19" s="69" t="s">
        <v>245</v>
      </c>
      <c r="CT19" s="70" t="s">
        <v>245</v>
      </c>
      <c r="CU19" s="73" t="s">
        <v>245</v>
      </c>
      <c r="CV19" s="73" t="s">
        <v>245</v>
      </c>
      <c r="CW19" s="73" t="s">
        <v>245</v>
      </c>
      <c r="CX19" s="73" t="s">
        <v>245</v>
      </c>
      <c r="CY19" s="73" t="s">
        <v>245</v>
      </c>
      <c r="CZ19" s="73" t="s">
        <v>245</v>
      </c>
      <c r="DA19" s="73" t="s">
        <v>245</v>
      </c>
      <c r="DB19" s="73" t="s">
        <v>245</v>
      </c>
      <c r="DC19" s="73" t="s">
        <v>245</v>
      </c>
      <c r="DD19" s="73" t="s">
        <v>245</v>
      </c>
      <c r="DE19" s="73" t="s">
        <v>245</v>
      </c>
      <c r="DF19" s="70" t="s">
        <v>245</v>
      </c>
      <c r="DG19" s="73" t="s">
        <v>245</v>
      </c>
      <c r="DH19" s="70" t="s">
        <v>245</v>
      </c>
      <c r="DI19" s="70" t="s">
        <v>245</v>
      </c>
      <c r="DJ19" s="73" t="s">
        <v>245</v>
      </c>
      <c r="DK19" s="73" t="s">
        <v>245</v>
      </c>
      <c r="DL19" s="73" t="s">
        <v>245</v>
      </c>
      <c r="DM19" s="73" t="s">
        <v>245</v>
      </c>
      <c r="DN19" s="73" t="s">
        <v>245</v>
      </c>
      <c r="DO19" s="73" t="s">
        <v>245</v>
      </c>
      <c r="DP19" s="73" t="s">
        <v>245</v>
      </c>
      <c r="DQ19" s="73" t="s">
        <v>245</v>
      </c>
      <c r="DR19" s="73" t="s">
        <v>245</v>
      </c>
      <c r="DS19" s="73" t="s">
        <v>245</v>
      </c>
      <c r="DT19" s="70" t="s">
        <v>245</v>
      </c>
      <c r="DU19" s="70" t="s">
        <v>245</v>
      </c>
      <c r="DV19" s="73" t="s">
        <v>245</v>
      </c>
      <c r="DW19" s="70" t="s">
        <v>245</v>
      </c>
      <c r="DX19" s="70" t="s">
        <v>245</v>
      </c>
      <c r="DY19" s="73" t="s">
        <v>245</v>
      </c>
      <c r="DZ19" s="73" t="s">
        <v>245</v>
      </c>
      <c r="EA19" s="73" t="s">
        <v>245</v>
      </c>
      <c r="EB19" s="73" t="s">
        <v>245</v>
      </c>
      <c r="EC19" s="73" t="s">
        <v>245</v>
      </c>
      <c r="ED19" s="73" t="s">
        <v>245</v>
      </c>
      <c r="EE19" s="73" t="s">
        <v>245</v>
      </c>
      <c r="EF19" s="73" t="s">
        <v>245</v>
      </c>
      <c r="EG19" s="73" t="s">
        <v>245</v>
      </c>
      <c r="EH19" s="73" t="s">
        <v>245</v>
      </c>
      <c r="EI19" s="69" t="s">
        <v>245</v>
      </c>
      <c r="EJ19" s="70" t="s">
        <v>245</v>
      </c>
      <c r="EK19" s="70" t="s">
        <v>245</v>
      </c>
      <c r="EL19" s="70" t="s">
        <v>245</v>
      </c>
      <c r="EM19" s="70" t="s">
        <v>245</v>
      </c>
      <c r="EN19" s="73" t="s">
        <v>245</v>
      </c>
      <c r="EO19" s="73" t="s">
        <v>245</v>
      </c>
      <c r="EP19" s="73" t="s">
        <v>245</v>
      </c>
      <c r="EQ19" s="73" t="s">
        <v>245</v>
      </c>
      <c r="ER19" s="73" t="s">
        <v>245</v>
      </c>
      <c r="ES19" s="73" t="s">
        <v>245</v>
      </c>
      <c r="ET19" s="73" t="s">
        <v>245</v>
      </c>
      <c r="EU19" s="73" t="s">
        <v>245</v>
      </c>
      <c r="EV19" s="73" t="s">
        <v>245</v>
      </c>
      <c r="EW19" s="73" t="s">
        <v>245</v>
      </c>
      <c r="EX19" s="73" t="s">
        <v>245</v>
      </c>
      <c r="EY19" s="70" t="s">
        <v>245</v>
      </c>
      <c r="EZ19" s="73" t="s">
        <v>245</v>
      </c>
      <c r="FA19" s="70" t="s">
        <v>396</v>
      </c>
      <c r="FB19" s="70" t="s">
        <v>277</v>
      </c>
      <c r="FC19" s="73">
        <v>2021</v>
      </c>
      <c r="FD19" s="73" t="s">
        <v>281</v>
      </c>
      <c r="FE19" s="73" t="s">
        <v>397</v>
      </c>
      <c r="FF19" s="73" t="s">
        <v>275</v>
      </c>
      <c r="FG19" s="73" t="s">
        <v>245</v>
      </c>
      <c r="FH19" s="73" t="s">
        <v>275</v>
      </c>
      <c r="FI19" s="73" t="s">
        <v>275</v>
      </c>
      <c r="FJ19" s="70" t="s">
        <v>275</v>
      </c>
      <c r="FK19" s="70" t="s">
        <v>398</v>
      </c>
      <c r="FL19" s="70" t="s">
        <v>399</v>
      </c>
      <c r="FM19" s="70">
        <v>2016</v>
      </c>
      <c r="FN19" s="70" t="s">
        <v>400</v>
      </c>
      <c r="FO19" s="70" t="s">
        <v>401</v>
      </c>
      <c r="FP19" s="70" t="s">
        <v>275</v>
      </c>
      <c r="FQ19" s="70" t="s">
        <v>245</v>
      </c>
      <c r="FR19" s="70" t="s">
        <v>275</v>
      </c>
      <c r="FS19" s="70" t="s">
        <v>275</v>
      </c>
      <c r="FT19" s="70" t="s">
        <v>275</v>
      </c>
      <c r="FU19" s="70">
        <v>797398</v>
      </c>
      <c r="FV19" s="70" t="s">
        <v>399</v>
      </c>
      <c r="FW19" s="70">
        <v>2009</v>
      </c>
      <c r="FX19" s="70" t="s">
        <v>273</v>
      </c>
      <c r="FY19" s="70" t="s">
        <v>274</v>
      </c>
      <c r="FZ19" s="70" t="s">
        <v>275</v>
      </c>
      <c r="GA19" s="70" t="s">
        <v>245</v>
      </c>
      <c r="GB19" s="70" t="s">
        <v>275</v>
      </c>
      <c r="GC19" s="70" t="s">
        <v>275</v>
      </c>
      <c r="GD19" s="70" t="s">
        <v>275</v>
      </c>
      <c r="GE19" s="70" t="s">
        <v>402</v>
      </c>
      <c r="GF19" s="70" t="s">
        <v>277</v>
      </c>
      <c r="GG19" s="70">
        <v>2018</v>
      </c>
      <c r="GH19" s="70" t="s">
        <v>296</v>
      </c>
      <c r="GI19" s="70" t="s">
        <v>403</v>
      </c>
      <c r="GJ19" s="70" t="s">
        <v>275</v>
      </c>
      <c r="GK19" s="70" t="s">
        <v>245</v>
      </c>
      <c r="GL19" s="70" t="s">
        <v>275</v>
      </c>
      <c r="GM19" s="70" t="s">
        <v>275</v>
      </c>
      <c r="GN19" s="70" t="s">
        <v>275</v>
      </c>
      <c r="GO19" s="70" t="s">
        <v>245</v>
      </c>
      <c r="GP19" s="70" t="s">
        <v>245</v>
      </c>
      <c r="GQ19" s="70" t="s">
        <v>245</v>
      </c>
      <c r="GR19" s="70" t="s">
        <v>245</v>
      </c>
      <c r="GS19" s="70" t="s">
        <v>245</v>
      </c>
      <c r="GT19" s="70" t="s">
        <v>245</v>
      </c>
      <c r="GU19" s="70" t="s">
        <v>245</v>
      </c>
      <c r="GV19" s="70" t="s">
        <v>245</v>
      </c>
      <c r="GW19" s="70" t="s">
        <v>245</v>
      </c>
      <c r="GX19" s="70" t="s">
        <v>245</v>
      </c>
      <c r="GY19" s="70" t="s">
        <v>245</v>
      </c>
      <c r="GZ19" s="70" t="s">
        <v>245</v>
      </c>
      <c r="HA19" s="70" t="s">
        <v>245</v>
      </c>
      <c r="HB19" s="70" t="s">
        <v>245</v>
      </c>
      <c r="HC19" s="70" t="s">
        <v>245</v>
      </c>
      <c r="HD19" s="70" t="s">
        <v>245</v>
      </c>
      <c r="HE19" s="70" t="s">
        <v>245</v>
      </c>
      <c r="HF19" s="70" t="s">
        <v>245</v>
      </c>
      <c r="HG19" s="70" t="s">
        <v>245</v>
      </c>
      <c r="HH19" s="70" t="s">
        <v>245</v>
      </c>
      <c r="HI19" s="70" t="s">
        <v>245</v>
      </c>
      <c r="HJ19" s="70" t="s">
        <v>245</v>
      </c>
      <c r="HK19" s="70" t="s">
        <v>245</v>
      </c>
      <c r="HL19" s="70" t="s">
        <v>245</v>
      </c>
      <c r="HM19" s="70" t="s">
        <v>245</v>
      </c>
      <c r="HN19" s="70" t="s">
        <v>245</v>
      </c>
      <c r="HO19" s="70" t="s">
        <v>245</v>
      </c>
      <c r="HP19" s="70" t="s">
        <v>245</v>
      </c>
      <c r="HQ19" s="70" t="s">
        <v>245</v>
      </c>
      <c r="HR19" s="70" t="s">
        <v>245</v>
      </c>
      <c r="HS19" s="70" t="s">
        <v>245</v>
      </c>
      <c r="HT19" s="70" t="s">
        <v>245</v>
      </c>
      <c r="HU19" s="70" t="s">
        <v>245</v>
      </c>
      <c r="HV19" s="70" t="s">
        <v>245</v>
      </c>
      <c r="HW19" s="70" t="s">
        <v>245</v>
      </c>
      <c r="HX19" s="70" t="s">
        <v>245</v>
      </c>
      <c r="HY19" s="70" t="s">
        <v>245</v>
      </c>
      <c r="HZ19" s="70" t="s">
        <v>245</v>
      </c>
      <c r="IA19" s="70" t="s">
        <v>245</v>
      </c>
      <c r="IB19" s="70" t="s">
        <v>245</v>
      </c>
      <c r="IC19" s="70">
        <f>AVERAGE(Tabla1[[#This Row],[Año 5]],Tabla1[[#This Row],[Año 4]],Tabla1[[#This Row],[Año 3]],Tabla1[[#This Row],[Año 2]],Tabla1[[#This Row],[Año]])</f>
        <v>2016</v>
      </c>
    </row>
    <row r="20" spans="2:237" s="1" customFormat="1" ht="28" x14ac:dyDescent="0.3">
      <c r="B20" s="68">
        <v>6</v>
      </c>
      <c r="C20" s="1" t="s">
        <v>404</v>
      </c>
      <c r="D20" s="69" t="s">
        <v>245</v>
      </c>
      <c r="E20" s="69" t="s">
        <v>246</v>
      </c>
      <c r="F20" s="13" t="s">
        <v>405</v>
      </c>
      <c r="G20" s="69" t="s">
        <v>406</v>
      </c>
      <c r="H20" s="70" t="s">
        <v>245</v>
      </c>
      <c r="I20" s="70" t="s">
        <v>245</v>
      </c>
      <c r="J20" s="70" t="s">
        <v>245</v>
      </c>
      <c r="K20" s="70" t="s">
        <v>245</v>
      </c>
      <c r="L20" s="70" t="s">
        <v>245</v>
      </c>
      <c r="M20" s="70" t="s">
        <v>245</v>
      </c>
      <c r="N20" s="70" t="s">
        <v>407</v>
      </c>
      <c r="O20" s="70" t="s">
        <v>408</v>
      </c>
      <c r="P20" s="70" t="s">
        <v>245</v>
      </c>
      <c r="Q20" s="70" t="s">
        <v>245</v>
      </c>
      <c r="R20" s="70" t="s">
        <v>245</v>
      </c>
      <c r="S20" s="70" t="s">
        <v>245</v>
      </c>
      <c r="T20" s="70" t="s">
        <v>251</v>
      </c>
      <c r="U20" s="70" t="s">
        <v>409</v>
      </c>
      <c r="V20" s="70" t="s">
        <v>410</v>
      </c>
      <c r="W20" s="73" t="s">
        <v>404</v>
      </c>
      <c r="X20" s="76" t="s">
        <v>411</v>
      </c>
      <c r="Y20" s="44" t="s">
        <v>412</v>
      </c>
      <c r="Z20" s="73" t="s">
        <v>256</v>
      </c>
      <c r="AA20" s="73" t="s">
        <v>256</v>
      </c>
      <c r="AB20" s="73" t="s">
        <v>257</v>
      </c>
      <c r="AC20" s="73" t="s">
        <v>258</v>
      </c>
      <c r="AD20" s="73" t="s">
        <v>382</v>
      </c>
      <c r="AE20" s="73" t="s">
        <v>245</v>
      </c>
      <c r="AF20" s="73" t="s">
        <v>259</v>
      </c>
      <c r="AG20" s="73" t="s">
        <v>256</v>
      </c>
      <c r="AH20" s="73" t="s">
        <v>256</v>
      </c>
      <c r="AI20" s="73" t="s">
        <v>256</v>
      </c>
      <c r="AJ20" s="73" t="s">
        <v>256</v>
      </c>
      <c r="AK20" s="69" t="s">
        <v>413</v>
      </c>
      <c r="AL20" s="69" t="s">
        <v>414</v>
      </c>
      <c r="AM20" s="73" t="s">
        <v>256</v>
      </c>
      <c r="AN20" s="73" t="s">
        <v>415</v>
      </c>
      <c r="AO20" s="73" t="s">
        <v>415</v>
      </c>
      <c r="AP20" s="73" t="s">
        <v>256</v>
      </c>
      <c r="AQ20" s="73" t="s">
        <v>256</v>
      </c>
      <c r="AR20" s="73" t="s">
        <v>262</v>
      </c>
      <c r="AS20" s="73" t="s">
        <v>263</v>
      </c>
      <c r="AT20" s="73" t="s">
        <v>263</v>
      </c>
      <c r="AU20" s="73" t="s">
        <v>275</v>
      </c>
      <c r="AV20" s="73" t="s">
        <v>256</v>
      </c>
      <c r="AW20" s="73" t="s">
        <v>264</v>
      </c>
      <c r="AX20" s="44" t="s">
        <v>416</v>
      </c>
      <c r="AY20" s="69" t="s">
        <v>417</v>
      </c>
      <c r="AZ20" s="69" t="s">
        <v>418</v>
      </c>
      <c r="BA20" s="70" t="s">
        <v>414</v>
      </c>
      <c r="BB20" s="73" t="s">
        <v>256</v>
      </c>
      <c r="BC20" s="73" t="s">
        <v>419</v>
      </c>
      <c r="BD20" s="73" t="s">
        <v>419</v>
      </c>
      <c r="BE20" s="73" t="s">
        <v>256</v>
      </c>
      <c r="BF20" s="73" t="s">
        <v>256</v>
      </c>
      <c r="BG20" s="73" t="s">
        <v>262</v>
      </c>
      <c r="BH20" s="73" t="s">
        <v>275</v>
      </c>
      <c r="BI20" s="73" t="s">
        <v>263</v>
      </c>
      <c r="BJ20" s="73" t="s">
        <v>263</v>
      </c>
      <c r="BK20" s="73" t="s">
        <v>256</v>
      </c>
      <c r="BL20" s="70" t="s">
        <v>264</v>
      </c>
      <c r="BM20" s="44" t="s">
        <v>420</v>
      </c>
      <c r="BN20" s="69">
        <v>89110615</v>
      </c>
      <c r="BO20" s="70" t="s">
        <v>421</v>
      </c>
      <c r="BP20" s="70" t="s">
        <v>422</v>
      </c>
      <c r="BQ20" s="73" t="s">
        <v>256</v>
      </c>
      <c r="BR20" s="73" t="s">
        <v>423</v>
      </c>
      <c r="BS20" s="73" t="s">
        <v>423</v>
      </c>
      <c r="BT20" s="73" t="s">
        <v>256</v>
      </c>
      <c r="BU20" s="73" t="s">
        <v>256</v>
      </c>
      <c r="BV20" s="73" t="s">
        <v>262</v>
      </c>
      <c r="BW20" s="73" t="s">
        <v>263</v>
      </c>
      <c r="BX20" s="73" t="s">
        <v>275</v>
      </c>
      <c r="BY20" s="73" t="s">
        <v>263</v>
      </c>
      <c r="BZ20" s="73" t="s">
        <v>256</v>
      </c>
      <c r="CA20" s="70" t="s">
        <v>264</v>
      </c>
      <c r="CB20" s="45" t="s">
        <v>412</v>
      </c>
      <c r="CC20" s="73">
        <v>84982026</v>
      </c>
      <c r="CD20" s="70" t="s">
        <v>424</v>
      </c>
      <c r="CE20" s="70" t="s">
        <v>422</v>
      </c>
      <c r="CF20" s="73" t="s">
        <v>256</v>
      </c>
      <c r="CG20" s="73" t="s">
        <v>425</v>
      </c>
      <c r="CH20" s="73" t="s">
        <v>426</v>
      </c>
      <c r="CI20" s="73" t="s">
        <v>256</v>
      </c>
      <c r="CJ20" s="73" t="s">
        <v>256</v>
      </c>
      <c r="CK20" s="73" t="s">
        <v>262</v>
      </c>
      <c r="CL20" s="73" t="s">
        <v>263</v>
      </c>
      <c r="CM20" s="73" t="s">
        <v>263</v>
      </c>
      <c r="CN20" s="73" t="s">
        <v>263</v>
      </c>
      <c r="CO20" s="73" t="s">
        <v>256</v>
      </c>
      <c r="CP20" s="73" t="s">
        <v>264</v>
      </c>
      <c r="CQ20" s="44" t="s">
        <v>427</v>
      </c>
      <c r="CR20" s="73">
        <v>62665932</v>
      </c>
      <c r="CS20" s="69" t="s">
        <v>245</v>
      </c>
      <c r="CT20" s="70" t="s">
        <v>245</v>
      </c>
      <c r="CU20" s="73" t="s">
        <v>245</v>
      </c>
      <c r="CV20" s="73" t="s">
        <v>245</v>
      </c>
      <c r="CW20" s="73" t="s">
        <v>245</v>
      </c>
      <c r="CX20" s="73" t="s">
        <v>245</v>
      </c>
      <c r="CY20" s="73" t="s">
        <v>245</v>
      </c>
      <c r="CZ20" s="73" t="s">
        <v>245</v>
      </c>
      <c r="DA20" s="73" t="s">
        <v>245</v>
      </c>
      <c r="DB20" s="73" t="s">
        <v>245</v>
      </c>
      <c r="DC20" s="73" t="s">
        <v>245</v>
      </c>
      <c r="DD20" s="73" t="s">
        <v>245</v>
      </c>
      <c r="DE20" s="73" t="s">
        <v>245</v>
      </c>
      <c r="DF20" s="70" t="s">
        <v>245</v>
      </c>
      <c r="DG20" s="73" t="s">
        <v>245</v>
      </c>
      <c r="DH20" s="70" t="s">
        <v>245</v>
      </c>
      <c r="DI20" s="70" t="s">
        <v>245</v>
      </c>
      <c r="DJ20" s="73" t="s">
        <v>245</v>
      </c>
      <c r="DK20" s="73" t="s">
        <v>245</v>
      </c>
      <c r="DL20" s="73" t="s">
        <v>245</v>
      </c>
      <c r="DM20" s="73" t="s">
        <v>245</v>
      </c>
      <c r="DN20" s="73" t="s">
        <v>245</v>
      </c>
      <c r="DO20" s="73" t="s">
        <v>245</v>
      </c>
      <c r="DP20" s="73" t="s">
        <v>245</v>
      </c>
      <c r="DQ20" s="73" t="s">
        <v>245</v>
      </c>
      <c r="DR20" s="73" t="s">
        <v>245</v>
      </c>
      <c r="DS20" s="73" t="s">
        <v>245</v>
      </c>
      <c r="DT20" s="70" t="s">
        <v>245</v>
      </c>
      <c r="DU20" s="70" t="s">
        <v>245</v>
      </c>
      <c r="DV20" s="73" t="s">
        <v>245</v>
      </c>
      <c r="DW20" s="70" t="s">
        <v>245</v>
      </c>
      <c r="DX20" s="70" t="s">
        <v>245</v>
      </c>
      <c r="DY20" s="73" t="s">
        <v>245</v>
      </c>
      <c r="DZ20" s="73" t="s">
        <v>245</v>
      </c>
      <c r="EA20" s="73" t="s">
        <v>245</v>
      </c>
      <c r="EB20" s="73" t="s">
        <v>245</v>
      </c>
      <c r="EC20" s="73" t="s">
        <v>245</v>
      </c>
      <c r="ED20" s="73" t="s">
        <v>245</v>
      </c>
      <c r="EE20" s="73" t="s">
        <v>245</v>
      </c>
      <c r="EF20" s="73" t="s">
        <v>245</v>
      </c>
      <c r="EG20" s="73" t="s">
        <v>245</v>
      </c>
      <c r="EH20" s="73" t="s">
        <v>245</v>
      </c>
      <c r="EI20" s="69" t="s">
        <v>245</v>
      </c>
      <c r="EJ20" s="70" t="s">
        <v>245</v>
      </c>
      <c r="EK20" s="70" t="s">
        <v>245</v>
      </c>
      <c r="EL20" s="70" t="s">
        <v>245</v>
      </c>
      <c r="EM20" s="70" t="s">
        <v>245</v>
      </c>
      <c r="EN20" s="73" t="s">
        <v>245</v>
      </c>
      <c r="EO20" s="73" t="s">
        <v>245</v>
      </c>
      <c r="EP20" s="73" t="s">
        <v>245</v>
      </c>
      <c r="EQ20" s="73" t="s">
        <v>245</v>
      </c>
      <c r="ER20" s="73" t="s">
        <v>245</v>
      </c>
      <c r="ES20" s="73" t="s">
        <v>245</v>
      </c>
      <c r="ET20" s="73" t="s">
        <v>245</v>
      </c>
      <c r="EU20" s="73" t="s">
        <v>245</v>
      </c>
      <c r="EV20" s="73" t="s">
        <v>245</v>
      </c>
      <c r="EW20" s="73" t="s">
        <v>245</v>
      </c>
      <c r="EX20" s="73" t="s">
        <v>245</v>
      </c>
      <c r="EY20" s="70" t="s">
        <v>245</v>
      </c>
      <c r="EZ20" s="73" t="s">
        <v>245</v>
      </c>
      <c r="FA20" s="70" t="s">
        <v>428</v>
      </c>
      <c r="FB20" s="70" t="s">
        <v>277</v>
      </c>
      <c r="FC20" s="73">
        <v>2022</v>
      </c>
      <c r="FD20" s="73" t="s">
        <v>278</v>
      </c>
      <c r="FE20" s="73" t="s">
        <v>429</v>
      </c>
      <c r="FF20" s="73" t="s">
        <v>263</v>
      </c>
      <c r="FG20" s="73"/>
      <c r="FH20" s="73" t="s">
        <v>263</v>
      </c>
      <c r="FI20" s="73" t="s">
        <v>263</v>
      </c>
      <c r="FJ20" s="70" t="s">
        <v>275</v>
      </c>
      <c r="FK20" s="70" t="s">
        <v>430</v>
      </c>
      <c r="FL20" s="70" t="s">
        <v>277</v>
      </c>
      <c r="FM20" s="70">
        <v>2019</v>
      </c>
      <c r="FN20" s="70" t="s">
        <v>278</v>
      </c>
      <c r="FO20" s="70" t="s">
        <v>431</v>
      </c>
      <c r="FP20" s="70" t="s">
        <v>275</v>
      </c>
      <c r="FQ20" s="70" t="s">
        <v>245</v>
      </c>
      <c r="FR20" s="70" t="s">
        <v>275</v>
      </c>
      <c r="FS20" s="70" t="s">
        <v>275</v>
      </c>
      <c r="FT20" s="70" t="s">
        <v>275</v>
      </c>
      <c r="FU20" s="70" t="s">
        <v>432</v>
      </c>
      <c r="FV20" s="70" t="s">
        <v>277</v>
      </c>
      <c r="FW20" s="70">
        <v>2017</v>
      </c>
      <c r="FX20" s="70" t="s">
        <v>333</v>
      </c>
      <c r="FY20" s="70" t="s">
        <v>433</v>
      </c>
      <c r="FZ20" s="70" t="s">
        <v>275</v>
      </c>
      <c r="GA20" s="70" t="s">
        <v>245</v>
      </c>
      <c r="GB20" s="70" t="s">
        <v>275</v>
      </c>
      <c r="GC20" s="70" t="s">
        <v>275</v>
      </c>
      <c r="GD20" s="70" t="s">
        <v>275</v>
      </c>
      <c r="GE20" s="70" t="s">
        <v>434</v>
      </c>
      <c r="GF20" s="70" t="s">
        <v>277</v>
      </c>
      <c r="GG20" s="70">
        <v>2016</v>
      </c>
      <c r="GH20" s="70" t="s">
        <v>333</v>
      </c>
      <c r="GI20" s="70" t="s">
        <v>433</v>
      </c>
      <c r="GJ20" s="70" t="s">
        <v>275</v>
      </c>
      <c r="GK20" s="70" t="s">
        <v>245</v>
      </c>
      <c r="GL20" s="70" t="s">
        <v>275</v>
      </c>
      <c r="GM20" s="70" t="s">
        <v>275</v>
      </c>
      <c r="GN20" s="70" t="s">
        <v>275</v>
      </c>
      <c r="GO20" s="70" t="s">
        <v>435</v>
      </c>
      <c r="GP20" s="70" t="s">
        <v>277</v>
      </c>
      <c r="GQ20" s="70">
        <v>2021</v>
      </c>
      <c r="GR20" s="70" t="s">
        <v>330</v>
      </c>
      <c r="GS20" s="70" t="s">
        <v>436</v>
      </c>
      <c r="GT20" s="70" t="s">
        <v>275</v>
      </c>
      <c r="GU20" s="70" t="s">
        <v>245</v>
      </c>
      <c r="GV20" s="70" t="s">
        <v>275</v>
      </c>
      <c r="GW20" s="70" t="s">
        <v>275</v>
      </c>
      <c r="GX20" s="70" t="s">
        <v>275</v>
      </c>
      <c r="GY20" s="70" t="s">
        <v>245</v>
      </c>
      <c r="GZ20" s="70" t="s">
        <v>245</v>
      </c>
      <c r="HA20" s="70" t="s">
        <v>245</v>
      </c>
      <c r="HB20" s="70" t="s">
        <v>245</v>
      </c>
      <c r="HC20" s="70" t="s">
        <v>245</v>
      </c>
      <c r="HD20" s="70" t="s">
        <v>245</v>
      </c>
      <c r="HE20" s="70" t="s">
        <v>245</v>
      </c>
      <c r="HF20" s="70" t="s">
        <v>245</v>
      </c>
      <c r="HG20" s="70" t="s">
        <v>245</v>
      </c>
      <c r="HH20" s="70" t="s">
        <v>245</v>
      </c>
      <c r="HI20" s="70" t="s">
        <v>245</v>
      </c>
      <c r="HJ20" s="70" t="s">
        <v>245</v>
      </c>
      <c r="HK20" s="70" t="s">
        <v>245</v>
      </c>
      <c r="HL20" s="70" t="s">
        <v>245</v>
      </c>
      <c r="HM20" s="70" t="s">
        <v>245</v>
      </c>
      <c r="HN20" s="70" t="s">
        <v>245</v>
      </c>
      <c r="HO20" s="70" t="s">
        <v>245</v>
      </c>
      <c r="HP20" s="70" t="s">
        <v>245</v>
      </c>
      <c r="HQ20" s="70" t="s">
        <v>245</v>
      </c>
      <c r="HR20" s="70" t="s">
        <v>245</v>
      </c>
      <c r="HS20" s="70" t="s">
        <v>245</v>
      </c>
      <c r="HT20" s="70" t="s">
        <v>245</v>
      </c>
      <c r="HU20" s="70" t="s">
        <v>245</v>
      </c>
      <c r="HV20" s="70" t="s">
        <v>245</v>
      </c>
      <c r="HW20" s="70" t="s">
        <v>245</v>
      </c>
      <c r="HX20" s="70" t="s">
        <v>245</v>
      </c>
      <c r="HY20" s="70" t="s">
        <v>245</v>
      </c>
      <c r="HZ20" s="70" t="s">
        <v>245</v>
      </c>
      <c r="IA20" s="70" t="s">
        <v>245</v>
      </c>
      <c r="IB20" s="70" t="s">
        <v>245</v>
      </c>
      <c r="IC20" s="70">
        <f>AVERAGE(Tabla1[[#This Row],[Año 5]],Tabla1[[#This Row],[Año 4]],Tabla1[[#This Row],[Año 3]],Tabla1[[#This Row],[Año 2]],Tabla1[[#This Row],[Año]])</f>
        <v>2019</v>
      </c>
    </row>
    <row r="21" spans="2:237" s="1" customFormat="1" ht="28" x14ac:dyDescent="0.3">
      <c r="B21" s="68">
        <v>7</v>
      </c>
      <c r="C21" s="77" t="s">
        <v>437</v>
      </c>
      <c r="D21" s="69" t="s">
        <v>438</v>
      </c>
      <c r="E21" s="69" t="s">
        <v>246</v>
      </c>
      <c r="F21" s="13" t="s">
        <v>439</v>
      </c>
      <c r="G21" s="69" t="s">
        <v>440</v>
      </c>
      <c r="H21" s="70" t="s">
        <v>245</v>
      </c>
      <c r="I21" s="70" t="s">
        <v>441</v>
      </c>
      <c r="J21" s="70" t="s">
        <v>245</v>
      </c>
      <c r="K21" s="70" t="s">
        <v>245</v>
      </c>
      <c r="L21" s="70" t="s">
        <v>245</v>
      </c>
      <c r="M21" s="70" t="s">
        <v>245</v>
      </c>
      <c r="N21" s="70" t="s">
        <v>442</v>
      </c>
      <c r="O21" s="70" t="s">
        <v>443</v>
      </c>
      <c r="P21" s="70" t="s">
        <v>245</v>
      </c>
      <c r="Q21" s="70" t="s">
        <v>245</v>
      </c>
      <c r="R21" s="70" t="s">
        <v>245</v>
      </c>
      <c r="S21" s="70" t="s">
        <v>245</v>
      </c>
      <c r="T21" s="70" t="s">
        <v>251</v>
      </c>
      <c r="U21" s="70" t="s">
        <v>444</v>
      </c>
      <c r="V21" s="70" t="s">
        <v>445</v>
      </c>
      <c r="W21" s="73" t="s">
        <v>437</v>
      </c>
      <c r="X21" s="76" t="s">
        <v>446</v>
      </c>
      <c r="Y21" s="69" t="s">
        <v>447</v>
      </c>
      <c r="Z21" s="73" t="s">
        <v>256</v>
      </c>
      <c r="AA21" s="73" t="s">
        <v>256</v>
      </c>
      <c r="AB21" s="73" t="s">
        <v>257</v>
      </c>
      <c r="AC21" s="73" t="s">
        <v>258</v>
      </c>
      <c r="AD21" s="73" t="s">
        <v>382</v>
      </c>
      <c r="AE21" s="73" t="s">
        <v>245</v>
      </c>
      <c r="AF21" s="73" t="s">
        <v>259</v>
      </c>
      <c r="AG21" s="73" t="s">
        <v>256</v>
      </c>
      <c r="AH21" s="73" t="s">
        <v>256</v>
      </c>
      <c r="AI21" s="73" t="s">
        <v>256</v>
      </c>
      <c r="AJ21" s="73" t="s">
        <v>256</v>
      </c>
      <c r="AK21" s="69" t="s">
        <v>448</v>
      </c>
      <c r="AL21" s="69" t="s">
        <v>449</v>
      </c>
      <c r="AM21" s="73" t="s">
        <v>256</v>
      </c>
      <c r="AN21" s="73" t="s">
        <v>450</v>
      </c>
      <c r="AO21" s="73" t="s">
        <v>423</v>
      </c>
      <c r="AP21" s="73" t="s">
        <v>256</v>
      </c>
      <c r="AQ21" s="73" t="s">
        <v>256</v>
      </c>
      <c r="AR21" s="73" t="s">
        <v>262</v>
      </c>
      <c r="AS21" s="73" t="s">
        <v>263</v>
      </c>
      <c r="AT21" s="73" t="s">
        <v>275</v>
      </c>
      <c r="AU21" s="73" t="s">
        <v>263</v>
      </c>
      <c r="AV21" s="73" t="s">
        <v>256</v>
      </c>
      <c r="AW21" s="73" t="s">
        <v>264</v>
      </c>
      <c r="AX21" s="69" t="s">
        <v>447</v>
      </c>
      <c r="AY21" s="69">
        <v>61959632</v>
      </c>
      <c r="AZ21" s="69" t="s">
        <v>451</v>
      </c>
      <c r="BA21" s="70" t="s">
        <v>452</v>
      </c>
      <c r="BB21" s="73" t="s">
        <v>256</v>
      </c>
      <c r="BC21" s="73" t="s">
        <v>419</v>
      </c>
      <c r="BD21" s="73" t="s">
        <v>415</v>
      </c>
      <c r="BE21" s="73" t="s">
        <v>256</v>
      </c>
      <c r="BF21" s="73" t="s">
        <v>256</v>
      </c>
      <c r="BG21" s="74" t="s">
        <v>453</v>
      </c>
      <c r="BH21" s="73" t="s">
        <v>263</v>
      </c>
      <c r="BI21" s="73" t="s">
        <v>263</v>
      </c>
      <c r="BJ21" s="73" t="s">
        <v>275</v>
      </c>
      <c r="BK21" s="73" t="s">
        <v>256</v>
      </c>
      <c r="BL21" s="73" t="s">
        <v>264</v>
      </c>
      <c r="BM21" s="44" t="s">
        <v>454</v>
      </c>
      <c r="BN21" s="69">
        <v>62964946</v>
      </c>
      <c r="BO21" s="70" t="s">
        <v>245</v>
      </c>
      <c r="BP21" s="70" t="s">
        <v>245</v>
      </c>
      <c r="BQ21" s="73" t="s">
        <v>245</v>
      </c>
      <c r="BR21" s="73" t="s">
        <v>245</v>
      </c>
      <c r="BS21" s="73" t="s">
        <v>245</v>
      </c>
      <c r="BT21" s="73" t="s">
        <v>245</v>
      </c>
      <c r="BU21" s="73" t="s">
        <v>245</v>
      </c>
      <c r="BV21" s="73" t="s">
        <v>245</v>
      </c>
      <c r="BW21" s="73" t="s">
        <v>245</v>
      </c>
      <c r="BX21" s="73" t="s">
        <v>245</v>
      </c>
      <c r="BY21" s="73" t="s">
        <v>245</v>
      </c>
      <c r="BZ21" s="73" t="s">
        <v>245</v>
      </c>
      <c r="CA21" s="70" t="s">
        <v>245</v>
      </c>
      <c r="CB21" s="70" t="s">
        <v>245</v>
      </c>
      <c r="CC21" s="73" t="s">
        <v>245</v>
      </c>
      <c r="CD21" s="70" t="s">
        <v>245</v>
      </c>
      <c r="CE21" s="70" t="s">
        <v>245</v>
      </c>
      <c r="CF21" s="73" t="s">
        <v>245</v>
      </c>
      <c r="CG21" s="73" t="s">
        <v>245</v>
      </c>
      <c r="CH21" s="73" t="s">
        <v>245</v>
      </c>
      <c r="CI21" s="73" t="s">
        <v>245</v>
      </c>
      <c r="CJ21" s="73" t="s">
        <v>245</v>
      </c>
      <c r="CK21" s="73" t="s">
        <v>245</v>
      </c>
      <c r="CL21" s="73" t="s">
        <v>245</v>
      </c>
      <c r="CM21" s="73" t="s">
        <v>245</v>
      </c>
      <c r="CN21" s="73" t="s">
        <v>245</v>
      </c>
      <c r="CO21" s="73" t="s">
        <v>245</v>
      </c>
      <c r="CP21" s="73" t="s">
        <v>245</v>
      </c>
      <c r="CQ21" s="69" t="s">
        <v>245</v>
      </c>
      <c r="CR21" s="73" t="s">
        <v>245</v>
      </c>
      <c r="CS21" s="69" t="s">
        <v>245</v>
      </c>
      <c r="CT21" s="70" t="s">
        <v>245</v>
      </c>
      <c r="CU21" s="73" t="s">
        <v>245</v>
      </c>
      <c r="CV21" s="73" t="s">
        <v>245</v>
      </c>
      <c r="CW21" s="73" t="s">
        <v>245</v>
      </c>
      <c r="CX21" s="73" t="s">
        <v>245</v>
      </c>
      <c r="CY21" s="73" t="s">
        <v>245</v>
      </c>
      <c r="CZ21" s="73" t="s">
        <v>245</v>
      </c>
      <c r="DA21" s="73" t="s">
        <v>245</v>
      </c>
      <c r="DB21" s="73" t="s">
        <v>245</v>
      </c>
      <c r="DC21" s="73" t="s">
        <v>245</v>
      </c>
      <c r="DD21" s="73" t="s">
        <v>245</v>
      </c>
      <c r="DE21" s="73" t="s">
        <v>245</v>
      </c>
      <c r="DF21" s="70" t="s">
        <v>245</v>
      </c>
      <c r="DG21" s="73" t="s">
        <v>245</v>
      </c>
      <c r="DH21" s="70" t="s">
        <v>245</v>
      </c>
      <c r="DI21" s="70" t="s">
        <v>245</v>
      </c>
      <c r="DJ21" s="73" t="s">
        <v>245</v>
      </c>
      <c r="DK21" s="73" t="s">
        <v>245</v>
      </c>
      <c r="DL21" s="73" t="s">
        <v>245</v>
      </c>
      <c r="DM21" s="73" t="s">
        <v>245</v>
      </c>
      <c r="DN21" s="73" t="s">
        <v>245</v>
      </c>
      <c r="DO21" s="73" t="s">
        <v>245</v>
      </c>
      <c r="DP21" s="73" t="s">
        <v>245</v>
      </c>
      <c r="DQ21" s="73" t="s">
        <v>245</v>
      </c>
      <c r="DR21" s="73" t="s">
        <v>245</v>
      </c>
      <c r="DS21" s="73" t="s">
        <v>245</v>
      </c>
      <c r="DT21" s="70" t="s">
        <v>245</v>
      </c>
      <c r="DU21" s="70" t="s">
        <v>245</v>
      </c>
      <c r="DV21" s="73" t="s">
        <v>245</v>
      </c>
      <c r="DW21" s="70" t="s">
        <v>245</v>
      </c>
      <c r="DX21" s="70" t="s">
        <v>245</v>
      </c>
      <c r="DY21" s="73" t="s">
        <v>245</v>
      </c>
      <c r="DZ21" s="73" t="s">
        <v>245</v>
      </c>
      <c r="EA21" s="73" t="s">
        <v>245</v>
      </c>
      <c r="EB21" s="73" t="s">
        <v>245</v>
      </c>
      <c r="EC21" s="73" t="s">
        <v>245</v>
      </c>
      <c r="ED21" s="73" t="s">
        <v>245</v>
      </c>
      <c r="EE21" s="73" t="s">
        <v>245</v>
      </c>
      <c r="EF21" s="73" t="s">
        <v>245</v>
      </c>
      <c r="EG21" s="73" t="s">
        <v>245</v>
      </c>
      <c r="EH21" s="73" t="s">
        <v>245</v>
      </c>
      <c r="EI21" s="69" t="s">
        <v>245</v>
      </c>
      <c r="EJ21" s="70" t="s">
        <v>245</v>
      </c>
      <c r="EK21" s="70" t="s">
        <v>245</v>
      </c>
      <c r="EL21" s="70" t="s">
        <v>245</v>
      </c>
      <c r="EM21" s="70" t="s">
        <v>245</v>
      </c>
      <c r="EN21" s="73" t="s">
        <v>245</v>
      </c>
      <c r="EO21" s="73" t="s">
        <v>245</v>
      </c>
      <c r="EP21" s="73" t="s">
        <v>245</v>
      </c>
      <c r="EQ21" s="73" t="s">
        <v>245</v>
      </c>
      <c r="ER21" s="73" t="s">
        <v>245</v>
      </c>
      <c r="ES21" s="73" t="s">
        <v>245</v>
      </c>
      <c r="ET21" s="73" t="s">
        <v>245</v>
      </c>
      <c r="EU21" s="73" t="s">
        <v>245</v>
      </c>
      <c r="EV21" s="73" t="s">
        <v>245</v>
      </c>
      <c r="EW21" s="73" t="s">
        <v>245</v>
      </c>
      <c r="EX21" s="73" t="s">
        <v>245</v>
      </c>
      <c r="EY21" s="70" t="s">
        <v>245</v>
      </c>
      <c r="EZ21" s="73" t="s">
        <v>245</v>
      </c>
      <c r="FA21" s="70" t="s">
        <v>455</v>
      </c>
      <c r="FB21" s="70" t="s">
        <v>277</v>
      </c>
      <c r="FC21" s="73">
        <v>2017</v>
      </c>
      <c r="FD21" s="73" t="s">
        <v>296</v>
      </c>
      <c r="FE21" s="73" t="s">
        <v>456</v>
      </c>
      <c r="FF21" s="78" t="s">
        <v>457</v>
      </c>
      <c r="FG21" s="78" t="s">
        <v>457</v>
      </c>
      <c r="FH21" s="73" t="s">
        <v>275</v>
      </c>
      <c r="FI21" s="73" t="s">
        <v>275</v>
      </c>
      <c r="FJ21" s="70" t="s">
        <v>275</v>
      </c>
      <c r="FK21" s="70" t="s">
        <v>458</v>
      </c>
      <c r="FL21" s="70" t="s">
        <v>277</v>
      </c>
      <c r="FM21" s="70">
        <v>2015</v>
      </c>
      <c r="FN21" s="70" t="s">
        <v>330</v>
      </c>
      <c r="FO21" s="70" t="s">
        <v>459</v>
      </c>
      <c r="FP21" s="70" t="s">
        <v>275</v>
      </c>
      <c r="FQ21" s="70" t="s">
        <v>245</v>
      </c>
      <c r="FR21" s="70" t="s">
        <v>275</v>
      </c>
      <c r="FS21" s="70" t="s">
        <v>275</v>
      </c>
      <c r="FT21" s="70" t="s">
        <v>275</v>
      </c>
      <c r="FU21" s="70" t="s">
        <v>245</v>
      </c>
      <c r="FV21" s="70" t="s">
        <v>245</v>
      </c>
      <c r="FW21" s="70" t="s">
        <v>245</v>
      </c>
      <c r="FX21" s="70" t="s">
        <v>245</v>
      </c>
      <c r="FY21" s="70" t="s">
        <v>245</v>
      </c>
      <c r="FZ21" s="70" t="s">
        <v>245</v>
      </c>
      <c r="GA21" s="70" t="s">
        <v>245</v>
      </c>
      <c r="GB21" s="70" t="s">
        <v>245</v>
      </c>
      <c r="GC21" s="70" t="s">
        <v>245</v>
      </c>
      <c r="GD21" s="70" t="s">
        <v>245</v>
      </c>
      <c r="GE21" s="70" t="s">
        <v>245</v>
      </c>
      <c r="GF21" s="70" t="s">
        <v>245</v>
      </c>
      <c r="GG21" s="70" t="s">
        <v>245</v>
      </c>
      <c r="GH21" s="70" t="s">
        <v>245</v>
      </c>
      <c r="GI21" s="70" t="s">
        <v>245</v>
      </c>
      <c r="GJ21" s="70" t="s">
        <v>245</v>
      </c>
      <c r="GK21" s="70" t="s">
        <v>245</v>
      </c>
      <c r="GL21" s="70" t="s">
        <v>245</v>
      </c>
      <c r="GM21" s="70" t="s">
        <v>245</v>
      </c>
      <c r="GN21" s="70" t="s">
        <v>245</v>
      </c>
      <c r="GO21" s="70" t="s">
        <v>245</v>
      </c>
      <c r="GP21" s="70" t="s">
        <v>245</v>
      </c>
      <c r="GQ21" s="70" t="s">
        <v>245</v>
      </c>
      <c r="GR21" s="70" t="s">
        <v>245</v>
      </c>
      <c r="GS21" s="70" t="s">
        <v>245</v>
      </c>
      <c r="GT21" s="70" t="s">
        <v>245</v>
      </c>
      <c r="GU21" s="70" t="s">
        <v>245</v>
      </c>
      <c r="GV21" s="70" t="s">
        <v>245</v>
      </c>
      <c r="GW21" s="70" t="s">
        <v>245</v>
      </c>
      <c r="GX21" s="70" t="s">
        <v>245</v>
      </c>
      <c r="GY21" s="70" t="s">
        <v>245</v>
      </c>
      <c r="GZ21" s="70" t="s">
        <v>245</v>
      </c>
      <c r="HA21" s="70" t="s">
        <v>245</v>
      </c>
      <c r="HB21" s="70" t="s">
        <v>245</v>
      </c>
      <c r="HC21" s="70" t="s">
        <v>245</v>
      </c>
      <c r="HD21" s="70" t="s">
        <v>245</v>
      </c>
      <c r="HE21" s="70" t="s">
        <v>245</v>
      </c>
      <c r="HF21" s="70" t="s">
        <v>245</v>
      </c>
      <c r="HG21" s="70" t="s">
        <v>245</v>
      </c>
      <c r="HH21" s="70" t="s">
        <v>245</v>
      </c>
      <c r="HI21" s="70" t="s">
        <v>245</v>
      </c>
      <c r="HJ21" s="70" t="s">
        <v>245</v>
      </c>
      <c r="HK21" s="70" t="s">
        <v>245</v>
      </c>
      <c r="HL21" s="70" t="s">
        <v>245</v>
      </c>
      <c r="HM21" s="70" t="s">
        <v>245</v>
      </c>
      <c r="HN21" s="70" t="s">
        <v>245</v>
      </c>
      <c r="HO21" s="70" t="s">
        <v>245</v>
      </c>
      <c r="HP21" s="70" t="s">
        <v>245</v>
      </c>
      <c r="HQ21" s="70" t="s">
        <v>245</v>
      </c>
      <c r="HR21" s="70" t="s">
        <v>245</v>
      </c>
      <c r="HS21" s="70" t="s">
        <v>245</v>
      </c>
      <c r="HT21" s="70" t="s">
        <v>245</v>
      </c>
      <c r="HU21" s="70" t="s">
        <v>245</v>
      </c>
      <c r="HV21" s="70" t="s">
        <v>245</v>
      </c>
      <c r="HW21" s="70" t="s">
        <v>245</v>
      </c>
      <c r="HX21" s="70" t="s">
        <v>245</v>
      </c>
      <c r="HY21" s="70" t="s">
        <v>245</v>
      </c>
      <c r="HZ21" s="70" t="s">
        <v>245</v>
      </c>
      <c r="IA21" s="70" t="s">
        <v>245</v>
      </c>
      <c r="IB21" s="70" t="s">
        <v>245</v>
      </c>
      <c r="IC21" s="70">
        <f>AVERAGE(Tabla1[[#This Row],[Año 5]],Tabla1[[#This Row],[Año 4]],Tabla1[[#This Row],[Año 3]],Tabla1[[#This Row],[Año 2]],Tabla1[[#This Row],[Año]])</f>
        <v>2016</v>
      </c>
    </row>
    <row r="22" spans="2:237" s="1" customFormat="1" ht="14" x14ac:dyDescent="0.3">
      <c r="B22" s="68">
        <v>8</v>
      </c>
      <c r="C22" s="1" t="s">
        <v>460</v>
      </c>
      <c r="D22" s="69" t="s">
        <v>245</v>
      </c>
      <c r="E22" s="69" t="s">
        <v>246</v>
      </c>
      <c r="F22" s="13" t="s">
        <v>461</v>
      </c>
      <c r="G22" s="69" t="s">
        <v>462</v>
      </c>
      <c r="H22" s="70" t="s">
        <v>245</v>
      </c>
      <c r="I22" s="70" t="s">
        <v>245</v>
      </c>
      <c r="J22" s="70" t="s">
        <v>245</v>
      </c>
      <c r="K22" s="70" t="s">
        <v>245</v>
      </c>
      <c r="L22" s="70" t="s">
        <v>245</v>
      </c>
      <c r="M22" s="70" t="s">
        <v>245</v>
      </c>
      <c r="N22" s="70" t="s">
        <v>463</v>
      </c>
      <c r="O22" s="70" t="s">
        <v>245</v>
      </c>
      <c r="P22" s="70" t="s">
        <v>245</v>
      </c>
      <c r="Q22" s="70" t="s">
        <v>245</v>
      </c>
      <c r="R22" s="70" t="s">
        <v>245</v>
      </c>
      <c r="S22" s="70" t="s">
        <v>245</v>
      </c>
      <c r="T22" s="70" t="s">
        <v>287</v>
      </c>
      <c r="U22" s="70" t="s">
        <v>464</v>
      </c>
      <c r="V22" s="70" t="s">
        <v>465</v>
      </c>
      <c r="W22" s="73" t="s">
        <v>460</v>
      </c>
      <c r="X22" s="75">
        <v>71130021</v>
      </c>
      <c r="Y22" s="44" t="s">
        <v>466</v>
      </c>
      <c r="Z22" s="73" t="s">
        <v>256</v>
      </c>
      <c r="AA22" s="73" t="s">
        <v>256</v>
      </c>
      <c r="AB22" s="73" t="s">
        <v>257</v>
      </c>
      <c r="AC22" s="73" t="s">
        <v>258</v>
      </c>
      <c r="AD22" s="73" t="s">
        <v>382</v>
      </c>
      <c r="AE22" s="73" t="s">
        <v>245</v>
      </c>
      <c r="AF22" s="73" t="s">
        <v>259</v>
      </c>
      <c r="AG22" s="73" t="s">
        <v>256</v>
      </c>
      <c r="AH22" s="73" t="s">
        <v>256</v>
      </c>
      <c r="AI22" s="73" t="s">
        <v>256</v>
      </c>
      <c r="AJ22" s="73" t="s">
        <v>256</v>
      </c>
      <c r="AK22" s="69" t="s">
        <v>468</v>
      </c>
      <c r="AL22" s="69" t="s">
        <v>469</v>
      </c>
      <c r="AM22" s="73" t="s">
        <v>256</v>
      </c>
      <c r="AN22" s="79" t="s">
        <v>419</v>
      </c>
      <c r="AO22" s="79" t="s">
        <v>419</v>
      </c>
      <c r="AP22" s="73" t="s">
        <v>256</v>
      </c>
      <c r="AQ22" s="73" t="s">
        <v>256</v>
      </c>
      <c r="AR22" s="73" t="s">
        <v>470</v>
      </c>
      <c r="AS22" s="73" t="s">
        <v>263</v>
      </c>
      <c r="AT22" s="73" t="s">
        <v>263</v>
      </c>
      <c r="AU22" s="73" t="s">
        <v>263</v>
      </c>
      <c r="AV22" s="73" t="s">
        <v>256</v>
      </c>
      <c r="AW22" s="73" t="s">
        <v>264</v>
      </c>
      <c r="AX22" s="44" t="s">
        <v>466</v>
      </c>
      <c r="AY22" s="69" t="s">
        <v>471</v>
      </c>
      <c r="AZ22" s="69" t="s">
        <v>245</v>
      </c>
      <c r="BA22" s="70" t="s">
        <v>245</v>
      </c>
      <c r="BB22" s="73" t="s">
        <v>245</v>
      </c>
      <c r="BC22" s="73" t="s">
        <v>245</v>
      </c>
      <c r="BD22" s="73" t="s">
        <v>245</v>
      </c>
      <c r="BE22" s="73" t="s">
        <v>245</v>
      </c>
      <c r="BF22" s="73" t="s">
        <v>245</v>
      </c>
      <c r="BG22" s="73" t="s">
        <v>245</v>
      </c>
      <c r="BH22" s="73" t="s">
        <v>245</v>
      </c>
      <c r="BI22" s="73" t="s">
        <v>245</v>
      </c>
      <c r="BJ22" s="73" t="s">
        <v>245</v>
      </c>
      <c r="BK22" s="73" t="s">
        <v>245</v>
      </c>
      <c r="BL22" s="70" t="s">
        <v>245</v>
      </c>
      <c r="BM22" s="69" t="s">
        <v>245</v>
      </c>
      <c r="BN22" s="69" t="s">
        <v>245</v>
      </c>
      <c r="BO22" s="70" t="s">
        <v>245</v>
      </c>
      <c r="BP22" s="70" t="s">
        <v>245</v>
      </c>
      <c r="BQ22" s="73" t="s">
        <v>245</v>
      </c>
      <c r="BR22" s="73" t="s">
        <v>245</v>
      </c>
      <c r="BS22" s="73" t="s">
        <v>245</v>
      </c>
      <c r="BT22" s="73" t="s">
        <v>245</v>
      </c>
      <c r="BU22" s="73" t="s">
        <v>245</v>
      </c>
      <c r="BV22" s="73" t="s">
        <v>245</v>
      </c>
      <c r="BW22" s="73" t="s">
        <v>245</v>
      </c>
      <c r="BX22" s="73" t="s">
        <v>245</v>
      </c>
      <c r="BY22" s="73" t="s">
        <v>245</v>
      </c>
      <c r="BZ22" s="73" t="s">
        <v>245</v>
      </c>
      <c r="CA22" s="70" t="s">
        <v>245</v>
      </c>
      <c r="CB22" s="70" t="s">
        <v>245</v>
      </c>
      <c r="CC22" s="73" t="s">
        <v>245</v>
      </c>
      <c r="CD22" s="70" t="s">
        <v>245</v>
      </c>
      <c r="CE22" s="70" t="s">
        <v>245</v>
      </c>
      <c r="CF22" s="73" t="s">
        <v>245</v>
      </c>
      <c r="CG22" s="73" t="s">
        <v>245</v>
      </c>
      <c r="CH22" s="73" t="s">
        <v>245</v>
      </c>
      <c r="CI22" s="73" t="s">
        <v>245</v>
      </c>
      <c r="CJ22" s="73" t="s">
        <v>245</v>
      </c>
      <c r="CK22" s="73" t="s">
        <v>245</v>
      </c>
      <c r="CL22" s="73" t="s">
        <v>245</v>
      </c>
      <c r="CM22" s="73" t="s">
        <v>245</v>
      </c>
      <c r="CN22" s="73" t="s">
        <v>245</v>
      </c>
      <c r="CO22" s="73" t="s">
        <v>245</v>
      </c>
      <c r="CP22" s="73" t="s">
        <v>245</v>
      </c>
      <c r="CQ22" s="69" t="s">
        <v>245</v>
      </c>
      <c r="CR22" s="73" t="s">
        <v>245</v>
      </c>
      <c r="CS22" s="69" t="s">
        <v>245</v>
      </c>
      <c r="CT22" s="70" t="s">
        <v>245</v>
      </c>
      <c r="CU22" s="73" t="s">
        <v>245</v>
      </c>
      <c r="CV22" s="73" t="s">
        <v>245</v>
      </c>
      <c r="CW22" s="73" t="s">
        <v>245</v>
      </c>
      <c r="CX22" s="73" t="s">
        <v>245</v>
      </c>
      <c r="CY22" s="73" t="s">
        <v>245</v>
      </c>
      <c r="CZ22" s="73" t="s">
        <v>245</v>
      </c>
      <c r="DA22" s="73" t="s">
        <v>245</v>
      </c>
      <c r="DB22" s="73" t="s">
        <v>245</v>
      </c>
      <c r="DC22" s="73" t="s">
        <v>245</v>
      </c>
      <c r="DD22" s="73" t="s">
        <v>245</v>
      </c>
      <c r="DE22" s="73" t="s">
        <v>245</v>
      </c>
      <c r="DF22" s="70" t="s">
        <v>245</v>
      </c>
      <c r="DG22" s="73" t="s">
        <v>245</v>
      </c>
      <c r="DH22" s="70" t="s">
        <v>245</v>
      </c>
      <c r="DI22" s="70" t="s">
        <v>245</v>
      </c>
      <c r="DJ22" s="73" t="s">
        <v>245</v>
      </c>
      <c r="DK22" s="73" t="s">
        <v>245</v>
      </c>
      <c r="DL22" s="73" t="s">
        <v>245</v>
      </c>
      <c r="DM22" s="73" t="s">
        <v>245</v>
      </c>
      <c r="DN22" s="73" t="s">
        <v>245</v>
      </c>
      <c r="DO22" s="73" t="s">
        <v>245</v>
      </c>
      <c r="DP22" s="73" t="s">
        <v>245</v>
      </c>
      <c r="DQ22" s="73" t="s">
        <v>245</v>
      </c>
      <c r="DR22" s="73" t="s">
        <v>245</v>
      </c>
      <c r="DS22" s="73" t="s">
        <v>245</v>
      </c>
      <c r="DT22" s="70" t="s">
        <v>245</v>
      </c>
      <c r="DU22" s="70" t="s">
        <v>245</v>
      </c>
      <c r="DV22" s="73" t="s">
        <v>245</v>
      </c>
      <c r="DW22" s="70" t="s">
        <v>245</v>
      </c>
      <c r="DX22" s="70" t="s">
        <v>245</v>
      </c>
      <c r="DY22" s="73" t="s">
        <v>245</v>
      </c>
      <c r="DZ22" s="73" t="s">
        <v>245</v>
      </c>
      <c r="EA22" s="73" t="s">
        <v>245</v>
      </c>
      <c r="EB22" s="73" t="s">
        <v>245</v>
      </c>
      <c r="EC22" s="73" t="s">
        <v>245</v>
      </c>
      <c r="ED22" s="73" t="s">
        <v>245</v>
      </c>
      <c r="EE22" s="73" t="s">
        <v>245</v>
      </c>
      <c r="EF22" s="73" t="s">
        <v>245</v>
      </c>
      <c r="EG22" s="73" t="s">
        <v>245</v>
      </c>
      <c r="EH22" s="73" t="s">
        <v>245</v>
      </c>
      <c r="EI22" s="69" t="s">
        <v>245</v>
      </c>
      <c r="EJ22" s="70" t="s">
        <v>245</v>
      </c>
      <c r="EK22" s="70" t="s">
        <v>245</v>
      </c>
      <c r="EL22" s="70" t="s">
        <v>245</v>
      </c>
      <c r="EM22" s="70" t="s">
        <v>245</v>
      </c>
      <c r="EN22" s="73" t="s">
        <v>245</v>
      </c>
      <c r="EO22" s="73" t="s">
        <v>245</v>
      </c>
      <c r="EP22" s="73" t="s">
        <v>245</v>
      </c>
      <c r="EQ22" s="73" t="s">
        <v>245</v>
      </c>
      <c r="ER22" s="73" t="s">
        <v>245</v>
      </c>
      <c r="ES22" s="73" t="s">
        <v>245</v>
      </c>
      <c r="ET22" s="73" t="s">
        <v>245</v>
      </c>
      <c r="EU22" s="73" t="s">
        <v>245</v>
      </c>
      <c r="EV22" s="73" t="s">
        <v>245</v>
      </c>
      <c r="EW22" s="73" t="s">
        <v>245</v>
      </c>
      <c r="EX22" s="73" t="s">
        <v>245</v>
      </c>
      <c r="EY22" s="70" t="s">
        <v>245</v>
      </c>
      <c r="EZ22" s="73" t="s">
        <v>245</v>
      </c>
      <c r="FA22" s="70" t="s">
        <v>472</v>
      </c>
      <c r="FB22" s="70" t="s">
        <v>399</v>
      </c>
      <c r="FC22" s="73">
        <v>2006</v>
      </c>
      <c r="FD22" s="73" t="s">
        <v>473</v>
      </c>
      <c r="FE22" s="73" t="s">
        <v>474</v>
      </c>
      <c r="FF22" s="79" t="s">
        <v>275</v>
      </c>
      <c r="FG22" s="79" t="s">
        <v>245</v>
      </c>
      <c r="FH22" s="73" t="s">
        <v>275</v>
      </c>
      <c r="FI22" s="73" t="s">
        <v>275</v>
      </c>
      <c r="FJ22" s="80" t="s">
        <v>475</v>
      </c>
      <c r="FK22" s="70" t="s">
        <v>245</v>
      </c>
      <c r="FL22" s="70" t="s">
        <v>245</v>
      </c>
      <c r="FM22" s="70" t="s">
        <v>245</v>
      </c>
      <c r="FN22" s="70" t="s">
        <v>245</v>
      </c>
      <c r="FO22" s="70" t="s">
        <v>245</v>
      </c>
      <c r="FP22" s="70" t="s">
        <v>245</v>
      </c>
      <c r="FQ22" s="70" t="s">
        <v>245</v>
      </c>
      <c r="FR22" s="70" t="s">
        <v>245</v>
      </c>
      <c r="FS22" s="70" t="s">
        <v>245</v>
      </c>
      <c r="FT22" s="70" t="s">
        <v>245</v>
      </c>
      <c r="FU22" s="70" t="s">
        <v>245</v>
      </c>
      <c r="FV22" s="70" t="s">
        <v>245</v>
      </c>
      <c r="FW22" s="70" t="s">
        <v>245</v>
      </c>
      <c r="FX22" s="70" t="s">
        <v>245</v>
      </c>
      <c r="FY22" s="70" t="s">
        <v>245</v>
      </c>
      <c r="FZ22" s="70" t="s">
        <v>245</v>
      </c>
      <c r="GA22" s="70" t="s">
        <v>245</v>
      </c>
      <c r="GB22" s="70" t="s">
        <v>245</v>
      </c>
      <c r="GC22" s="70" t="s">
        <v>245</v>
      </c>
      <c r="GD22" s="70" t="s">
        <v>245</v>
      </c>
      <c r="GE22" s="70" t="s">
        <v>245</v>
      </c>
      <c r="GF22" s="70" t="s">
        <v>245</v>
      </c>
      <c r="GG22" s="70" t="s">
        <v>245</v>
      </c>
      <c r="GH22" s="70" t="s">
        <v>245</v>
      </c>
      <c r="GI22" s="70" t="s">
        <v>245</v>
      </c>
      <c r="GJ22" s="70" t="s">
        <v>245</v>
      </c>
      <c r="GK22" s="70" t="s">
        <v>245</v>
      </c>
      <c r="GL22" s="70" t="s">
        <v>245</v>
      </c>
      <c r="GM22" s="70" t="s">
        <v>245</v>
      </c>
      <c r="GN22" s="70" t="s">
        <v>245</v>
      </c>
      <c r="GO22" s="70" t="s">
        <v>245</v>
      </c>
      <c r="GP22" s="70" t="s">
        <v>245</v>
      </c>
      <c r="GQ22" s="70" t="s">
        <v>245</v>
      </c>
      <c r="GR22" s="70" t="s">
        <v>245</v>
      </c>
      <c r="GS22" s="70" t="s">
        <v>245</v>
      </c>
      <c r="GT22" s="70" t="s">
        <v>245</v>
      </c>
      <c r="GU22" s="70" t="s">
        <v>245</v>
      </c>
      <c r="GV22" s="70" t="s">
        <v>245</v>
      </c>
      <c r="GW22" s="70" t="s">
        <v>245</v>
      </c>
      <c r="GX22" s="70" t="s">
        <v>245</v>
      </c>
      <c r="GY22" s="70" t="s">
        <v>245</v>
      </c>
      <c r="GZ22" s="70" t="s">
        <v>245</v>
      </c>
      <c r="HA22" s="70" t="s">
        <v>245</v>
      </c>
      <c r="HB22" s="70" t="s">
        <v>245</v>
      </c>
      <c r="HC22" s="70" t="s">
        <v>245</v>
      </c>
      <c r="HD22" s="70" t="s">
        <v>245</v>
      </c>
      <c r="HE22" s="70" t="s">
        <v>245</v>
      </c>
      <c r="HF22" s="70" t="s">
        <v>245</v>
      </c>
      <c r="HG22" s="70" t="s">
        <v>245</v>
      </c>
      <c r="HH22" s="70" t="s">
        <v>245</v>
      </c>
      <c r="HI22" s="70" t="s">
        <v>245</v>
      </c>
      <c r="HJ22" s="70" t="s">
        <v>245</v>
      </c>
      <c r="HK22" s="70" t="s">
        <v>245</v>
      </c>
      <c r="HL22" s="70" t="s">
        <v>245</v>
      </c>
      <c r="HM22" s="70" t="s">
        <v>245</v>
      </c>
      <c r="HN22" s="70" t="s">
        <v>245</v>
      </c>
      <c r="HO22" s="70" t="s">
        <v>245</v>
      </c>
      <c r="HP22" s="70" t="s">
        <v>245</v>
      </c>
      <c r="HQ22" s="70" t="s">
        <v>245</v>
      </c>
      <c r="HR22" s="70" t="s">
        <v>245</v>
      </c>
      <c r="HS22" s="70" t="s">
        <v>245</v>
      </c>
      <c r="HT22" s="70" t="s">
        <v>245</v>
      </c>
      <c r="HU22" s="70" t="s">
        <v>245</v>
      </c>
      <c r="HV22" s="70" t="s">
        <v>245</v>
      </c>
      <c r="HW22" s="70" t="s">
        <v>245</v>
      </c>
      <c r="HX22" s="70" t="s">
        <v>245</v>
      </c>
      <c r="HY22" s="70" t="s">
        <v>245</v>
      </c>
      <c r="HZ22" s="70" t="s">
        <v>245</v>
      </c>
      <c r="IA22" s="70" t="s">
        <v>245</v>
      </c>
      <c r="IB22" s="70" t="s">
        <v>245</v>
      </c>
      <c r="IC22" s="70">
        <f>AVERAGE(Tabla1[[#This Row],[Año 5]],Tabla1[[#This Row],[Año 4]],Tabla1[[#This Row],[Año 3]],Tabla1[[#This Row],[Año 2]],Tabla1[[#This Row],[Año]])</f>
        <v>2006</v>
      </c>
    </row>
    <row r="23" spans="2:237" s="1" customFormat="1" ht="14" x14ac:dyDescent="0.3">
      <c r="B23" s="68">
        <v>9</v>
      </c>
      <c r="C23" s="1" t="s">
        <v>476</v>
      </c>
      <c r="D23" s="69" t="s">
        <v>245</v>
      </c>
      <c r="E23" s="69" t="s">
        <v>246</v>
      </c>
      <c r="F23" s="13" t="s">
        <v>477</v>
      </c>
      <c r="G23" s="69" t="s">
        <v>478</v>
      </c>
      <c r="H23" s="70" t="s">
        <v>245</v>
      </c>
      <c r="I23" s="70" t="s">
        <v>245</v>
      </c>
      <c r="J23" s="70" t="s">
        <v>245</v>
      </c>
      <c r="K23" s="70" t="s">
        <v>245</v>
      </c>
      <c r="L23" s="70" t="s">
        <v>245</v>
      </c>
      <c r="M23" s="70" t="s">
        <v>245</v>
      </c>
      <c r="N23" s="70" t="s">
        <v>479</v>
      </c>
      <c r="O23" s="70" t="s">
        <v>480</v>
      </c>
      <c r="P23" s="70" t="s">
        <v>481</v>
      </c>
      <c r="Q23" s="70" t="s">
        <v>245</v>
      </c>
      <c r="R23" s="70" t="s">
        <v>245</v>
      </c>
      <c r="S23" s="70" t="s">
        <v>245</v>
      </c>
      <c r="T23" s="70" t="s">
        <v>287</v>
      </c>
      <c r="U23" s="70" t="s">
        <v>482</v>
      </c>
      <c r="V23" s="70" t="s">
        <v>483</v>
      </c>
      <c r="W23" s="73" t="s">
        <v>476</v>
      </c>
      <c r="X23" s="75">
        <v>70101121</v>
      </c>
      <c r="Y23" s="44" t="s">
        <v>484</v>
      </c>
      <c r="Z23" s="73" t="s">
        <v>256</v>
      </c>
      <c r="AA23" s="73" t="s">
        <v>256</v>
      </c>
      <c r="AB23" s="73" t="s">
        <v>258</v>
      </c>
      <c r="AC23" s="73" t="s">
        <v>258</v>
      </c>
      <c r="AD23" s="73" t="s">
        <v>382</v>
      </c>
      <c r="AE23" s="73" t="s">
        <v>245</v>
      </c>
      <c r="AF23" s="73" t="s">
        <v>259</v>
      </c>
      <c r="AG23" s="73" t="s">
        <v>259</v>
      </c>
      <c r="AH23" s="73" t="s">
        <v>259</v>
      </c>
      <c r="AI23" s="73" t="s">
        <v>256</v>
      </c>
      <c r="AJ23" s="73" t="s">
        <v>256</v>
      </c>
      <c r="AK23" s="69" t="s">
        <v>485</v>
      </c>
      <c r="AL23" s="69" t="s">
        <v>486</v>
      </c>
      <c r="AM23" s="73" t="s">
        <v>256</v>
      </c>
      <c r="AN23" s="73" t="s">
        <v>487</v>
      </c>
      <c r="AO23" s="73" t="s">
        <v>487</v>
      </c>
      <c r="AP23" s="73" t="s">
        <v>256</v>
      </c>
      <c r="AQ23" s="73" t="s">
        <v>256</v>
      </c>
      <c r="AR23" s="73" t="s">
        <v>470</v>
      </c>
      <c r="AS23" s="73" t="s">
        <v>263</v>
      </c>
      <c r="AT23" s="73" t="s">
        <v>263</v>
      </c>
      <c r="AU23" s="73" t="s">
        <v>263</v>
      </c>
      <c r="AV23" s="73" t="s">
        <v>256</v>
      </c>
      <c r="AW23" s="73" t="s">
        <v>264</v>
      </c>
      <c r="AX23" s="44" t="s">
        <v>488</v>
      </c>
      <c r="AY23" s="69">
        <v>70101262</v>
      </c>
      <c r="AZ23" s="69" t="s">
        <v>489</v>
      </c>
      <c r="BA23" s="70" t="s">
        <v>486</v>
      </c>
      <c r="BB23" s="73" t="s">
        <v>256</v>
      </c>
      <c r="BC23" s="73" t="s">
        <v>354</v>
      </c>
      <c r="BD23" s="73" t="s">
        <v>490</v>
      </c>
      <c r="BE23" s="73" t="s">
        <v>256</v>
      </c>
      <c r="BF23" s="73" t="s">
        <v>256</v>
      </c>
      <c r="BG23" s="73" t="s">
        <v>262</v>
      </c>
      <c r="BH23" s="73" t="s">
        <v>263</v>
      </c>
      <c r="BI23" s="73" t="s">
        <v>263</v>
      </c>
      <c r="BJ23" s="73" t="s">
        <v>263</v>
      </c>
      <c r="BK23" s="73" t="s">
        <v>256</v>
      </c>
      <c r="BL23" s="70" t="s">
        <v>264</v>
      </c>
      <c r="BM23" s="44" t="s">
        <v>491</v>
      </c>
      <c r="BN23" s="69">
        <v>64143030</v>
      </c>
      <c r="BO23" s="70" t="s">
        <v>492</v>
      </c>
      <c r="BP23" s="70" t="s">
        <v>486</v>
      </c>
      <c r="BQ23" s="73" t="s">
        <v>256</v>
      </c>
      <c r="BR23" s="73">
        <v>3</v>
      </c>
      <c r="BS23" s="73" t="s">
        <v>493</v>
      </c>
      <c r="BT23" s="73" t="s">
        <v>256</v>
      </c>
      <c r="BU23" s="73" t="s">
        <v>256</v>
      </c>
      <c r="BV23" s="73" t="s">
        <v>262</v>
      </c>
      <c r="BW23" s="73" t="s">
        <v>263</v>
      </c>
      <c r="BX23" s="73" t="s">
        <v>263</v>
      </c>
      <c r="BY23" s="73" t="s">
        <v>263</v>
      </c>
      <c r="BZ23" s="73" t="s">
        <v>256</v>
      </c>
      <c r="CA23" s="70" t="s">
        <v>264</v>
      </c>
      <c r="CB23" s="45" t="s">
        <v>494</v>
      </c>
      <c r="CC23" s="73">
        <v>62351418</v>
      </c>
      <c r="CD23" s="70" t="s">
        <v>495</v>
      </c>
      <c r="CE23" s="70" t="s">
        <v>449</v>
      </c>
      <c r="CF23" s="73" t="s">
        <v>256</v>
      </c>
      <c r="CG23" s="73">
        <v>10</v>
      </c>
      <c r="CH23" s="73">
        <v>10</v>
      </c>
      <c r="CI23" s="73" t="s">
        <v>256</v>
      </c>
      <c r="CJ23" s="73" t="s">
        <v>256</v>
      </c>
      <c r="CK23" s="73" t="s">
        <v>262</v>
      </c>
      <c r="CL23" s="73" t="s">
        <v>263</v>
      </c>
      <c r="CM23" s="73" t="s">
        <v>263</v>
      </c>
      <c r="CN23" s="73" t="s">
        <v>263</v>
      </c>
      <c r="CO23" s="73" t="s">
        <v>256</v>
      </c>
      <c r="CP23" s="73" t="s">
        <v>264</v>
      </c>
      <c r="CQ23" s="44" t="s">
        <v>496</v>
      </c>
      <c r="CR23" s="73">
        <v>70101121</v>
      </c>
      <c r="CS23" s="69" t="s">
        <v>497</v>
      </c>
      <c r="CT23" s="70" t="s">
        <v>449</v>
      </c>
      <c r="CU23" s="73" t="s">
        <v>256</v>
      </c>
      <c r="CV23" s="73">
        <v>1</v>
      </c>
      <c r="CW23" s="73">
        <v>7</v>
      </c>
      <c r="CX23" s="73" t="s">
        <v>256</v>
      </c>
      <c r="CY23" s="73" t="s">
        <v>256</v>
      </c>
      <c r="CZ23" s="73" t="s">
        <v>262</v>
      </c>
      <c r="DA23" s="73" t="s">
        <v>263</v>
      </c>
      <c r="DB23" s="73" t="s">
        <v>263</v>
      </c>
      <c r="DC23" s="73" t="s">
        <v>275</v>
      </c>
      <c r="DD23" s="73" t="s">
        <v>256</v>
      </c>
      <c r="DE23" s="73" t="s">
        <v>498</v>
      </c>
      <c r="DF23" s="45" t="s">
        <v>499</v>
      </c>
      <c r="DG23" s="73">
        <v>86982843</v>
      </c>
      <c r="DH23" s="70" t="s">
        <v>500</v>
      </c>
      <c r="DI23" s="70" t="s">
        <v>765</v>
      </c>
      <c r="DJ23" s="73" t="s">
        <v>256</v>
      </c>
      <c r="DK23" s="73">
        <v>2</v>
      </c>
      <c r="DL23" s="73" t="s">
        <v>501</v>
      </c>
      <c r="DM23" s="73" t="s">
        <v>256</v>
      </c>
      <c r="DN23" s="73" t="s">
        <v>256</v>
      </c>
      <c r="DO23" s="73" t="s">
        <v>267</v>
      </c>
      <c r="DP23" s="73" t="s">
        <v>263</v>
      </c>
      <c r="DQ23" s="73" t="s">
        <v>263</v>
      </c>
      <c r="DR23" s="73" t="s">
        <v>263</v>
      </c>
      <c r="DS23" s="73" t="s">
        <v>256</v>
      </c>
      <c r="DT23" s="70" t="s">
        <v>264</v>
      </c>
      <c r="DU23" s="45" t="s">
        <v>502</v>
      </c>
      <c r="DV23" s="73">
        <v>72495309</v>
      </c>
      <c r="DW23" s="70" t="s">
        <v>503</v>
      </c>
      <c r="DX23" s="70" t="s">
        <v>765</v>
      </c>
      <c r="DY23" s="73" t="s">
        <v>256</v>
      </c>
      <c r="DZ23" s="73" t="s">
        <v>504</v>
      </c>
      <c r="EA23" s="73">
        <v>8</v>
      </c>
      <c r="EB23" s="73" t="s">
        <v>256</v>
      </c>
      <c r="EC23" s="73" t="s">
        <v>256</v>
      </c>
      <c r="ED23" s="73" t="s">
        <v>470</v>
      </c>
      <c r="EE23" s="73" t="s">
        <v>263</v>
      </c>
      <c r="EF23" s="73" t="s">
        <v>263</v>
      </c>
      <c r="EG23" s="73" t="s">
        <v>263</v>
      </c>
      <c r="EH23" s="73" t="s">
        <v>256</v>
      </c>
      <c r="EI23" s="69" t="s">
        <v>264</v>
      </c>
      <c r="EJ23" s="45" t="s">
        <v>505</v>
      </c>
      <c r="EK23" s="70">
        <v>60056494</v>
      </c>
      <c r="EL23" s="70" t="s">
        <v>506</v>
      </c>
      <c r="EM23" s="70" t="s">
        <v>765</v>
      </c>
      <c r="EN23" s="73" t="s">
        <v>256</v>
      </c>
      <c r="EO23" s="73" t="s">
        <v>507</v>
      </c>
      <c r="EP23" s="73">
        <v>1</v>
      </c>
      <c r="EQ23" s="73" t="s">
        <v>275</v>
      </c>
      <c r="ER23" s="73" t="s">
        <v>259</v>
      </c>
      <c r="ES23" s="73" t="s">
        <v>262</v>
      </c>
      <c r="ET23" s="73" t="s">
        <v>263</v>
      </c>
      <c r="EU23" s="73" t="s">
        <v>263</v>
      </c>
      <c r="EV23" s="73" t="s">
        <v>263</v>
      </c>
      <c r="EW23" s="73" t="s">
        <v>256</v>
      </c>
      <c r="EX23" s="73" t="s">
        <v>264</v>
      </c>
      <c r="EY23" s="45" t="s">
        <v>508</v>
      </c>
      <c r="EZ23" s="73">
        <v>83494962</v>
      </c>
      <c r="FA23" s="70" t="s">
        <v>509</v>
      </c>
      <c r="FB23" s="70" t="s">
        <v>277</v>
      </c>
      <c r="FC23" s="73">
        <v>2015</v>
      </c>
      <c r="FD23" s="73" t="s">
        <v>510</v>
      </c>
      <c r="FE23" s="73" t="s">
        <v>511</v>
      </c>
      <c r="FF23" s="73" t="s">
        <v>275</v>
      </c>
      <c r="FG23" s="73" t="s">
        <v>245</v>
      </c>
      <c r="FH23" s="73" t="s">
        <v>275</v>
      </c>
      <c r="FI23" s="73" t="s">
        <v>275</v>
      </c>
      <c r="FJ23" s="73" t="s">
        <v>275</v>
      </c>
      <c r="FK23" s="70" t="s">
        <v>512</v>
      </c>
      <c r="FL23" s="70" t="s">
        <v>277</v>
      </c>
      <c r="FM23" s="70">
        <v>2016</v>
      </c>
      <c r="FN23" s="70" t="s">
        <v>513</v>
      </c>
      <c r="FO23" s="70" t="s">
        <v>514</v>
      </c>
      <c r="FP23" s="70" t="s">
        <v>275</v>
      </c>
      <c r="FQ23" s="70" t="s">
        <v>275</v>
      </c>
      <c r="FR23" s="70" t="s">
        <v>275</v>
      </c>
      <c r="FS23" s="70" t="s">
        <v>275</v>
      </c>
      <c r="FT23" s="70" t="s">
        <v>275</v>
      </c>
      <c r="FU23" s="70" t="s">
        <v>515</v>
      </c>
      <c r="FV23" s="70" t="s">
        <v>277</v>
      </c>
      <c r="FW23" s="70">
        <v>2017</v>
      </c>
      <c r="FX23" s="70" t="s">
        <v>510</v>
      </c>
      <c r="FY23" s="70" t="s">
        <v>516</v>
      </c>
      <c r="FZ23" s="70" t="s">
        <v>275</v>
      </c>
      <c r="GA23" s="70" t="s">
        <v>245</v>
      </c>
      <c r="GB23" s="70" t="s">
        <v>275</v>
      </c>
      <c r="GC23" s="70" t="s">
        <v>275</v>
      </c>
      <c r="GD23" s="70" t="s">
        <v>275</v>
      </c>
      <c r="GE23" s="70" t="s">
        <v>517</v>
      </c>
      <c r="GF23" s="70" t="s">
        <v>277</v>
      </c>
      <c r="GG23" s="70">
        <v>2015</v>
      </c>
      <c r="GH23" s="70" t="s">
        <v>330</v>
      </c>
      <c r="GI23" s="70" t="s">
        <v>518</v>
      </c>
      <c r="GJ23" s="70" t="s">
        <v>275</v>
      </c>
      <c r="GK23" s="70" t="s">
        <v>275</v>
      </c>
      <c r="GL23" s="70" t="s">
        <v>275</v>
      </c>
      <c r="GM23" s="70" t="s">
        <v>275</v>
      </c>
      <c r="GN23" s="70" t="s">
        <v>275</v>
      </c>
      <c r="GO23" s="81" t="s">
        <v>519</v>
      </c>
      <c r="GP23" s="70" t="s">
        <v>277</v>
      </c>
      <c r="GQ23" s="70">
        <v>2022</v>
      </c>
      <c r="GR23" s="70" t="s">
        <v>330</v>
      </c>
      <c r="GS23" s="70" t="s">
        <v>520</v>
      </c>
      <c r="GT23" s="82" t="s">
        <v>521</v>
      </c>
      <c r="GU23" s="82" t="s">
        <v>521</v>
      </c>
      <c r="GV23" s="82" t="s">
        <v>521</v>
      </c>
      <c r="GW23" s="82" t="s">
        <v>521</v>
      </c>
      <c r="GX23" s="70" t="s">
        <v>275</v>
      </c>
      <c r="GY23" s="70" t="s">
        <v>522</v>
      </c>
      <c r="GZ23" s="70" t="s">
        <v>277</v>
      </c>
      <c r="HA23" s="70">
        <v>2017</v>
      </c>
      <c r="HB23" s="70" t="s">
        <v>330</v>
      </c>
      <c r="HC23" s="70" t="s">
        <v>245</v>
      </c>
      <c r="HD23" s="70" t="s">
        <v>275</v>
      </c>
      <c r="HE23" s="70" t="s">
        <v>245</v>
      </c>
      <c r="HF23" s="70" t="s">
        <v>275</v>
      </c>
      <c r="HG23" s="70" t="s">
        <v>275</v>
      </c>
      <c r="HH23" s="70" t="s">
        <v>275</v>
      </c>
      <c r="HI23" s="70" t="s">
        <v>523</v>
      </c>
      <c r="HJ23" s="70" t="s">
        <v>277</v>
      </c>
      <c r="HK23" s="70">
        <v>2019</v>
      </c>
      <c r="HL23" s="70" t="s">
        <v>524</v>
      </c>
      <c r="HM23" s="70" t="s">
        <v>525</v>
      </c>
      <c r="HN23" s="70" t="s">
        <v>275</v>
      </c>
      <c r="HO23" s="70" t="s">
        <v>245</v>
      </c>
      <c r="HP23" s="70" t="s">
        <v>275</v>
      </c>
      <c r="HQ23" s="70" t="s">
        <v>275</v>
      </c>
      <c r="HR23" s="70" t="s">
        <v>275</v>
      </c>
      <c r="HS23" s="70" t="s">
        <v>526</v>
      </c>
      <c r="HT23" s="70" t="s">
        <v>277</v>
      </c>
      <c r="HU23" s="70">
        <v>2018</v>
      </c>
      <c r="HV23" s="70" t="s">
        <v>513</v>
      </c>
      <c r="HW23" s="70" t="s">
        <v>514</v>
      </c>
      <c r="HX23" s="70" t="s">
        <v>275</v>
      </c>
      <c r="HY23" s="70" t="s">
        <v>275</v>
      </c>
      <c r="HZ23" s="70" t="s">
        <v>275</v>
      </c>
      <c r="IA23" s="70" t="s">
        <v>275</v>
      </c>
      <c r="IB23" s="70" t="s">
        <v>275</v>
      </c>
      <c r="IC23" s="70">
        <f>AVERAGE(Tabla1[[#This Row],[Año 5]],Tabla1[[#This Row],[Año 4]],Tabla1[[#This Row],[Año 3]],Tabla1[[#This Row],[Año 2]],Tabla1[[#This Row],[Año]])</f>
        <v>2017</v>
      </c>
    </row>
    <row r="24" spans="2:237" s="48" customFormat="1" ht="80.400000000000006" customHeight="1" x14ac:dyDescent="0.3">
      <c r="B24" s="83">
        <v>10</v>
      </c>
      <c r="C24" s="85" t="s">
        <v>527</v>
      </c>
      <c r="D24" s="84" t="s">
        <v>245</v>
      </c>
      <c r="E24" s="84" t="s">
        <v>246</v>
      </c>
      <c r="F24" s="85" t="s">
        <v>528</v>
      </c>
      <c r="G24" s="84" t="s">
        <v>529</v>
      </c>
      <c r="H24" s="86" t="s">
        <v>245</v>
      </c>
      <c r="I24" s="86" t="s">
        <v>245</v>
      </c>
      <c r="J24" s="86" t="s">
        <v>245</v>
      </c>
      <c r="K24" s="86" t="s">
        <v>245</v>
      </c>
      <c r="L24" s="86" t="s">
        <v>245</v>
      </c>
      <c r="M24" s="86" t="s">
        <v>245</v>
      </c>
      <c r="N24" s="86" t="s">
        <v>530</v>
      </c>
      <c r="O24" s="86" t="s">
        <v>531</v>
      </c>
      <c r="P24" s="86" t="s">
        <v>245</v>
      </c>
      <c r="Q24" s="86" t="s">
        <v>245</v>
      </c>
      <c r="R24" s="86" t="s">
        <v>245</v>
      </c>
      <c r="S24" s="86" t="s">
        <v>245</v>
      </c>
      <c r="T24" s="86" t="s">
        <v>532</v>
      </c>
      <c r="U24" s="86">
        <v>921186136</v>
      </c>
      <c r="V24" s="86" t="s">
        <v>533</v>
      </c>
      <c r="W24" s="87" t="s">
        <v>527</v>
      </c>
      <c r="X24" s="87" t="s">
        <v>534</v>
      </c>
      <c r="Y24" s="46" t="s">
        <v>535</v>
      </c>
      <c r="Z24" s="87" t="s">
        <v>256</v>
      </c>
      <c r="AA24" s="87" t="s">
        <v>256</v>
      </c>
      <c r="AB24" s="88" t="s">
        <v>536</v>
      </c>
      <c r="AC24" s="87" t="s">
        <v>258</v>
      </c>
      <c r="AD24" s="89" t="s">
        <v>537</v>
      </c>
      <c r="AE24" s="87" t="s">
        <v>245</v>
      </c>
      <c r="AF24" s="87" t="s">
        <v>259</v>
      </c>
      <c r="AG24" s="87" t="s">
        <v>256</v>
      </c>
      <c r="AH24" s="87" t="s">
        <v>256</v>
      </c>
      <c r="AI24" s="87" t="s">
        <v>256</v>
      </c>
      <c r="AJ24" s="87" t="s">
        <v>256</v>
      </c>
      <c r="AK24" s="84" t="s">
        <v>538</v>
      </c>
      <c r="AL24" s="84" t="s">
        <v>539</v>
      </c>
      <c r="AM24" s="73" t="s">
        <v>256</v>
      </c>
      <c r="AN24" s="87">
        <v>0</v>
      </c>
      <c r="AO24" s="87" t="s">
        <v>540</v>
      </c>
      <c r="AP24" s="87" t="s">
        <v>256</v>
      </c>
      <c r="AQ24" s="87" t="s">
        <v>256</v>
      </c>
      <c r="AR24" s="87" t="s">
        <v>267</v>
      </c>
      <c r="AS24" s="87" t="s">
        <v>263</v>
      </c>
      <c r="AT24" s="87" t="s">
        <v>263</v>
      </c>
      <c r="AU24" s="87" t="s">
        <v>263</v>
      </c>
      <c r="AV24" s="73" t="s">
        <v>256</v>
      </c>
      <c r="AW24" s="73" t="s">
        <v>264</v>
      </c>
      <c r="AX24" s="46" t="s">
        <v>541</v>
      </c>
      <c r="AY24" s="84">
        <v>86284825</v>
      </c>
      <c r="AZ24" s="84" t="s">
        <v>542</v>
      </c>
      <c r="BA24" s="86" t="s">
        <v>539</v>
      </c>
      <c r="BB24" s="73" t="s">
        <v>256</v>
      </c>
      <c r="BC24" s="87" t="s">
        <v>540</v>
      </c>
      <c r="BD24" s="87" t="s">
        <v>543</v>
      </c>
      <c r="BE24" s="73" t="s">
        <v>256</v>
      </c>
      <c r="BF24" s="73" t="s">
        <v>256</v>
      </c>
      <c r="BG24" s="87" t="s">
        <v>267</v>
      </c>
      <c r="BH24" s="87" t="s">
        <v>263</v>
      </c>
      <c r="BI24" s="87" t="s">
        <v>263</v>
      </c>
      <c r="BJ24" s="87" t="s">
        <v>263</v>
      </c>
      <c r="BK24" s="73" t="s">
        <v>256</v>
      </c>
      <c r="BL24" s="90" t="s">
        <v>264</v>
      </c>
      <c r="BM24" s="46" t="s">
        <v>544</v>
      </c>
      <c r="BN24" s="84">
        <v>84112406</v>
      </c>
      <c r="BO24" s="87" t="s">
        <v>545</v>
      </c>
      <c r="BP24" s="87" t="s">
        <v>546</v>
      </c>
      <c r="BQ24" s="87" t="s">
        <v>256</v>
      </c>
      <c r="BR24" s="87" t="s">
        <v>540</v>
      </c>
      <c r="BS24" s="87" t="s">
        <v>547</v>
      </c>
      <c r="BT24" s="87" t="s">
        <v>256</v>
      </c>
      <c r="BU24" s="87" t="s">
        <v>256</v>
      </c>
      <c r="BV24" s="87" t="s">
        <v>267</v>
      </c>
      <c r="BW24" s="87" t="s">
        <v>263</v>
      </c>
      <c r="BX24" s="87" t="s">
        <v>263</v>
      </c>
      <c r="BY24" s="87" t="s">
        <v>263</v>
      </c>
      <c r="BZ24" s="87" t="s">
        <v>548</v>
      </c>
      <c r="CA24" s="87" t="s">
        <v>264</v>
      </c>
      <c r="CB24" s="47" t="s">
        <v>549</v>
      </c>
      <c r="CC24" s="87">
        <v>85143577</v>
      </c>
      <c r="CD24" s="87" t="s">
        <v>550</v>
      </c>
      <c r="CE24" s="87" t="s">
        <v>551</v>
      </c>
      <c r="CF24" s="87" t="s">
        <v>256</v>
      </c>
      <c r="CG24" s="87">
        <v>2</v>
      </c>
      <c r="CH24" s="87">
        <v>15</v>
      </c>
      <c r="CI24" s="87" t="s">
        <v>256</v>
      </c>
      <c r="CJ24" s="87" t="s">
        <v>256</v>
      </c>
      <c r="CK24" s="87" t="s">
        <v>262</v>
      </c>
      <c r="CL24" s="87" t="s">
        <v>263</v>
      </c>
      <c r="CM24" s="87" t="s">
        <v>263</v>
      </c>
      <c r="CN24" s="87" t="s">
        <v>263</v>
      </c>
      <c r="CO24" s="87" t="s">
        <v>256</v>
      </c>
      <c r="CP24" s="87" t="s">
        <v>264</v>
      </c>
      <c r="CQ24" s="46" t="s">
        <v>552</v>
      </c>
      <c r="CR24" s="87">
        <v>88944013</v>
      </c>
      <c r="CS24" s="84" t="s">
        <v>553</v>
      </c>
      <c r="CT24" s="87" t="s">
        <v>551</v>
      </c>
      <c r="CU24" s="87" t="s">
        <v>256</v>
      </c>
      <c r="CV24" s="87">
        <v>7</v>
      </c>
      <c r="CW24" s="87">
        <v>12</v>
      </c>
      <c r="CX24" s="87" t="s">
        <v>256</v>
      </c>
      <c r="CY24" s="87" t="s">
        <v>256</v>
      </c>
      <c r="CZ24" s="87" t="s">
        <v>267</v>
      </c>
      <c r="DA24" s="87" t="s">
        <v>263</v>
      </c>
      <c r="DB24" s="87" t="s">
        <v>263</v>
      </c>
      <c r="DC24" s="87" t="s">
        <v>263</v>
      </c>
      <c r="DD24" s="87" t="s">
        <v>256</v>
      </c>
      <c r="DE24" s="87" t="s">
        <v>264</v>
      </c>
      <c r="DF24" s="47" t="s">
        <v>554</v>
      </c>
      <c r="DG24" s="87">
        <v>60333111</v>
      </c>
      <c r="DH24" s="87" t="s">
        <v>245</v>
      </c>
      <c r="DI24" s="87" t="s">
        <v>245</v>
      </c>
      <c r="DJ24" s="87" t="s">
        <v>245</v>
      </c>
      <c r="DK24" s="87" t="s">
        <v>245</v>
      </c>
      <c r="DL24" s="87" t="s">
        <v>245</v>
      </c>
      <c r="DM24" s="87" t="s">
        <v>245</v>
      </c>
      <c r="DN24" s="87" t="s">
        <v>245</v>
      </c>
      <c r="DO24" s="87" t="s">
        <v>245</v>
      </c>
      <c r="DP24" s="87" t="s">
        <v>245</v>
      </c>
      <c r="DQ24" s="87" t="s">
        <v>245</v>
      </c>
      <c r="DR24" s="87" t="s">
        <v>245</v>
      </c>
      <c r="DS24" s="87" t="s">
        <v>245</v>
      </c>
      <c r="DT24" s="87" t="s">
        <v>245</v>
      </c>
      <c r="DU24" s="87" t="s">
        <v>245</v>
      </c>
      <c r="DV24" s="87" t="s">
        <v>245</v>
      </c>
      <c r="DW24" s="87" t="s">
        <v>245</v>
      </c>
      <c r="DX24" s="87" t="s">
        <v>245</v>
      </c>
      <c r="DY24" s="87" t="s">
        <v>245</v>
      </c>
      <c r="DZ24" s="87" t="s">
        <v>245</v>
      </c>
      <c r="EA24" s="87" t="s">
        <v>245</v>
      </c>
      <c r="EB24" s="87" t="s">
        <v>245</v>
      </c>
      <c r="EC24" s="87" t="s">
        <v>245</v>
      </c>
      <c r="ED24" s="87" t="s">
        <v>245</v>
      </c>
      <c r="EE24" s="87" t="s">
        <v>245</v>
      </c>
      <c r="EF24" s="87" t="s">
        <v>245</v>
      </c>
      <c r="EG24" s="87" t="s">
        <v>245</v>
      </c>
      <c r="EH24" s="87" t="s">
        <v>245</v>
      </c>
      <c r="EI24" s="84" t="s">
        <v>245</v>
      </c>
      <c r="EJ24" s="87" t="s">
        <v>245</v>
      </c>
      <c r="EK24" s="87" t="s">
        <v>245</v>
      </c>
      <c r="EL24" s="87" t="s">
        <v>245</v>
      </c>
      <c r="EM24" s="87" t="s">
        <v>245</v>
      </c>
      <c r="EN24" s="87" t="s">
        <v>245</v>
      </c>
      <c r="EO24" s="87" t="s">
        <v>245</v>
      </c>
      <c r="EP24" s="87" t="s">
        <v>245</v>
      </c>
      <c r="EQ24" s="87" t="s">
        <v>245</v>
      </c>
      <c r="ER24" s="87" t="s">
        <v>245</v>
      </c>
      <c r="ES24" s="87" t="s">
        <v>245</v>
      </c>
      <c r="ET24" s="87" t="s">
        <v>245</v>
      </c>
      <c r="EU24" s="87" t="s">
        <v>245</v>
      </c>
      <c r="EV24" s="87" t="s">
        <v>245</v>
      </c>
      <c r="EW24" s="87" t="s">
        <v>245</v>
      </c>
      <c r="EX24" s="87" t="s">
        <v>245</v>
      </c>
      <c r="EY24" s="87" t="s">
        <v>245</v>
      </c>
      <c r="EZ24" s="87" t="s">
        <v>245</v>
      </c>
      <c r="FA24" s="87" t="s">
        <v>555</v>
      </c>
      <c r="FB24" s="87" t="s">
        <v>277</v>
      </c>
      <c r="FC24" s="87">
        <v>2022</v>
      </c>
      <c r="FD24" s="87" t="s">
        <v>513</v>
      </c>
      <c r="FE24" s="87" t="s">
        <v>556</v>
      </c>
      <c r="FF24" s="87" t="s">
        <v>275</v>
      </c>
      <c r="FG24" s="87" t="s">
        <v>275</v>
      </c>
      <c r="FH24" s="91" t="s">
        <v>275</v>
      </c>
      <c r="FI24" s="87" t="s">
        <v>275</v>
      </c>
      <c r="FJ24" s="87" t="s">
        <v>275</v>
      </c>
      <c r="FK24" s="87" t="s">
        <v>557</v>
      </c>
      <c r="FL24" s="87" t="s">
        <v>277</v>
      </c>
      <c r="FM24" s="87">
        <v>2020</v>
      </c>
      <c r="FN24" s="87" t="s">
        <v>524</v>
      </c>
      <c r="FO24" s="87" t="s">
        <v>558</v>
      </c>
      <c r="FP24" s="87" t="s">
        <v>275</v>
      </c>
      <c r="FQ24" s="87" t="s">
        <v>275</v>
      </c>
      <c r="FR24" s="87" t="s">
        <v>275</v>
      </c>
      <c r="FS24" s="87" t="s">
        <v>275</v>
      </c>
      <c r="FT24" s="87" t="s">
        <v>275</v>
      </c>
      <c r="FU24" s="87" t="s">
        <v>559</v>
      </c>
      <c r="FV24" s="87" t="s">
        <v>277</v>
      </c>
      <c r="FW24" s="87">
        <v>2015</v>
      </c>
      <c r="FX24" s="87" t="s">
        <v>510</v>
      </c>
      <c r="FY24" s="87" t="s">
        <v>560</v>
      </c>
      <c r="FZ24" s="87" t="s">
        <v>275</v>
      </c>
      <c r="GA24" s="87" t="s">
        <v>245</v>
      </c>
      <c r="GB24" s="87" t="s">
        <v>275</v>
      </c>
      <c r="GC24" s="87" t="s">
        <v>275</v>
      </c>
      <c r="GD24" s="87" t="s">
        <v>275</v>
      </c>
      <c r="GE24" s="87" t="s">
        <v>561</v>
      </c>
      <c r="GF24" s="87" t="s">
        <v>277</v>
      </c>
      <c r="GG24" s="87">
        <v>2020</v>
      </c>
      <c r="GH24" s="87" t="s">
        <v>333</v>
      </c>
      <c r="GI24" s="87" t="s">
        <v>562</v>
      </c>
      <c r="GJ24" s="87" t="s">
        <v>275</v>
      </c>
      <c r="GK24" s="87" t="s">
        <v>245</v>
      </c>
      <c r="GL24" s="87" t="s">
        <v>275</v>
      </c>
      <c r="GM24" s="87" t="s">
        <v>275</v>
      </c>
      <c r="GN24" s="87" t="s">
        <v>275</v>
      </c>
      <c r="GO24" s="87" t="s">
        <v>563</v>
      </c>
      <c r="GP24" s="87" t="s">
        <v>277</v>
      </c>
      <c r="GQ24" s="87">
        <v>2021</v>
      </c>
      <c r="GR24" s="87" t="s">
        <v>513</v>
      </c>
      <c r="GS24" s="87" t="s">
        <v>564</v>
      </c>
      <c r="GT24" s="87" t="s">
        <v>275</v>
      </c>
      <c r="GU24" s="87" t="s">
        <v>275</v>
      </c>
      <c r="GV24" s="87" t="s">
        <v>275</v>
      </c>
      <c r="GW24" s="87" t="s">
        <v>275</v>
      </c>
      <c r="GX24" s="87" t="s">
        <v>275</v>
      </c>
      <c r="GY24" s="87" t="s">
        <v>245</v>
      </c>
      <c r="GZ24" s="87" t="s">
        <v>245</v>
      </c>
      <c r="HA24" s="87" t="s">
        <v>245</v>
      </c>
      <c r="HB24" s="87" t="s">
        <v>245</v>
      </c>
      <c r="HC24" s="87" t="s">
        <v>245</v>
      </c>
      <c r="HD24" s="87" t="s">
        <v>245</v>
      </c>
      <c r="HE24" s="87" t="s">
        <v>245</v>
      </c>
      <c r="HF24" s="87" t="s">
        <v>245</v>
      </c>
      <c r="HG24" s="87" t="s">
        <v>245</v>
      </c>
      <c r="HH24" s="87" t="s">
        <v>245</v>
      </c>
      <c r="HI24" s="87" t="s">
        <v>245</v>
      </c>
      <c r="HJ24" s="87" t="s">
        <v>245</v>
      </c>
      <c r="HK24" s="87" t="s">
        <v>245</v>
      </c>
      <c r="HL24" s="87" t="s">
        <v>245</v>
      </c>
      <c r="HM24" s="87" t="s">
        <v>245</v>
      </c>
      <c r="HN24" s="87" t="s">
        <v>245</v>
      </c>
      <c r="HO24" s="87" t="s">
        <v>245</v>
      </c>
      <c r="HP24" s="87" t="s">
        <v>245</v>
      </c>
      <c r="HQ24" s="87" t="s">
        <v>245</v>
      </c>
      <c r="HR24" s="87" t="s">
        <v>245</v>
      </c>
      <c r="HS24" s="87" t="s">
        <v>245</v>
      </c>
      <c r="HT24" s="87" t="s">
        <v>245</v>
      </c>
      <c r="HU24" s="87" t="s">
        <v>245</v>
      </c>
      <c r="HV24" s="87" t="s">
        <v>245</v>
      </c>
      <c r="HW24" s="87" t="s">
        <v>245</v>
      </c>
      <c r="HX24" s="87" t="s">
        <v>245</v>
      </c>
      <c r="HY24" s="87" t="s">
        <v>245</v>
      </c>
      <c r="HZ24" s="87" t="s">
        <v>245</v>
      </c>
      <c r="IA24" s="87" t="s">
        <v>245</v>
      </c>
      <c r="IB24" s="87" t="s">
        <v>245</v>
      </c>
      <c r="IC24" s="87">
        <f>AVERAGE(Tabla1[[#This Row],[Año 5]],Tabla1[[#This Row],[Año 4]],Tabla1[[#This Row],[Año 3]],Tabla1[[#This Row],[Año 2]],Tabla1[[#This Row],[Año]])</f>
        <v>2019.6</v>
      </c>
    </row>
    <row r="25" spans="2:237" s="1" customFormat="1" ht="14" x14ac:dyDescent="0.3">
      <c r="B25" s="68">
        <v>11</v>
      </c>
      <c r="C25" s="1" t="s">
        <v>565</v>
      </c>
      <c r="D25" s="69" t="s">
        <v>245</v>
      </c>
      <c r="E25" s="69" t="s">
        <v>246</v>
      </c>
      <c r="F25" s="13" t="s">
        <v>566</v>
      </c>
      <c r="G25" s="69" t="s">
        <v>567</v>
      </c>
      <c r="H25" s="70" t="s">
        <v>245</v>
      </c>
      <c r="I25" s="70" t="s">
        <v>245</v>
      </c>
      <c r="J25" s="70" t="s">
        <v>245</v>
      </c>
      <c r="K25" s="70" t="s">
        <v>245</v>
      </c>
      <c r="L25" s="70" t="s">
        <v>245</v>
      </c>
      <c r="M25" s="70" t="s">
        <v>245</v>
      </c>
      <c r="N25" s="70" t="s">
        <v>568</v>
      </c>
      <c r="O25" s="70" t="s">
        <v>245</v>
      </c>
      <c r="P25" s="70" t="s">
        <v>245</v>
      </c>
      <c r="Q25" s="70" t="s">
        <v>245</v>
      </c>
      <c r="R25" s="70" t="s">
        <v>245</v>
      </c>
      <c r="S25" s="70" t="s">
        <v>245</v>
      </c>
      <c r="T25" s="70" t="s">
        <v>251</v>
      </c>
      <c r="U25" s="70" t="s">
        <v>569</v>
      </c>
      <c r="V25" s="70" t="s">
        <v>570</v>
      </c>
      <c r="W25" s="73" t="s">
        <v>565</v>
      </c>
      <c r="X25" s="73" t="s">
        <v>571</v>
      </c>
      <c r="Y25" s="44" t="s">
        <v>572</v>
      </c>
      <c r="Z25" s="73" t="s">
        <v>256</v>
      </c>
      <c r="AA25" s="73" t="s">
        <v>256</v>
      </c>
      <c r="AB25" s="73" t="s">
        <v>258</v>
      </c>
      <c r="AC25" s="73" t="s">
        <v>258</v>
      </c>
      <c r="AD25" s="73" t="s">
        <v>382</v>
      </c>
      <c r="AE25" s="73" t="s">
        <v>245</v>
      </c>
      <c r="AF25" s="73" t="s">
        <v>259</v>
      </c>
      <c r="AG25" s="73" t="s">
        <v>256</v>
      </c>
      <c r="AH25" s="73" t="s">
        <v>256</v>
      </c>
      <c r="AI25" s="73" t="s">
        <v>256</v>
      </c>
      <c r="AJ25" s="73" t="s">
        <v>256</v>
      </c>
      <c r="AK25" s="69" t="s">
        <v>573</v>
      </c>
      <c r="AL25" s="69" t="s">
        <v>574</v>
      </c>
      <c r="AM25" s="73" t="s">
        <v>256</v>
      </c>
      <c r="AN25" s="73" t="s">
        <v>575</v>
      </c>
      <c r="AO25" s="73" t="s">
        <v>576</v>
      </c>
      <c r="AP25" s="73" t="s">
        <v>256</v>
      </c>
      <c r="AQ25" s="73" t="s">
        <v>256</v>
      </c>
      <c r="AR25" s="73" t="s">
        <v>262</v>
      </c>
      <c r="AS25" s="73" t="s">
        <v>263</v>
      </c>
      <c r="AT25" s="73" t="s">
        <v>263</v>
      </c>
      <c r="AU25" s="73" t="s">
        <v>263</v>
      </c>
      <c r="AV25" s="73" t="s">
        <v>256</v>
      </c>
      <c r="AW25" s="73" t="s">
        <v>264</v>
      </c>
      <c r="AX25" s="44" t="s">
        <v>572</v>
      </c>
      <c r="AY25" s="69">
        <v>87642299</v>
      </c>
      <c r="AZ25" s="69" t="s">
        <v>577</v>
      </c>
      <c r="BA25" s="70" t="s">
        <v>574</v>
      </c>
      <c r="BB25" s="73" t="s">
        <v>256</v>
      </c>
      <c r="BC25" s="73" t="s">
        <v>415</v>
      </c>
      <c r="BD25" s="73" t="s">
        <v>415</v>
      </c>
      <c r="BE25" s="73" t="s">
        <v>256</v>
      </c>
      <c r="BF25" s="73" t="s">
        <v>256</v>
      </c>
      <c r="BG25" s="73" t="s">
        <v>470</v>
      </c>
      <c r="BH25" s="73" t="s">
        <v>263</v>
      </c>
      <c r="BI25" s="73" t="s">
        <v>263</v>
      </c>
      <c r="BJ25" s="73" t="s">
        <v>263</v>
      </c>
      <c r="BK25" s="73" t="s">
        <v>256</v>
      </c>
      <c r="BL25" s="70" t="s">
        <v>275</v>
      </c>
      <c r="BM25" s="44" t="s">
        <v>578</v>
      </c>
      <c r="BN25" s="69">
        <v>60202092</v>
      </c>
      <c r="BO25" s="70" t="s">
        <v>245</v>
      </c>
      <c r="BP25" s="70" t="s">
        <v>245</v>
      </c>
      <c r="BQ25" s="73" t="s">
        <v>245</v>
      </c>
      <c r="BR25" s="73" t="s">
        <v>245</v>
      </c>
      <c r="BS25" s="73" t="s">
        <v>245</v>
      </c>
      <c r="BT25" s="73" t="s">
        <v>245</v>
      </c>
      <c r="BU25" s="73" t="s">
        <v>245</v>
      </c>
      <c r="BV25" s="73" t="s">
        <v>245</v>
      </c>
      <c r="BW25" s="73" t="s">
        <v>245</v>
      </c>
      <c r="BX25" s="73" t="s">
        <v>245</v>
      </c>
      <c r="BY25" s="73" t="s">
        <v>245</v>
      </c>
      <c r="BZ25" s="73" t="s">
        <v>245</v>
      </c>
      <c r="CA25" s="70" t="s">
        <v>245</v>
      </c>
      <c r="CB25" s="70" t="s">
        <v>245</v>
      </c>
      <c r="CC25" s="73" t="s">
        <v>245</v>
      </c>
      <c r="CD25" s="70" t="s">
        <v>245</v>
      </c>
      <c r="CE25" s="70" t="s">
        <v>245</v>
      </c>
      <c r="CF25" s="73" t="s">
        <v>245</v>
      </c>
      <c r="CG25" s="73" t="s">
        <v>245</v>
      </c>
      <c r="CH25" s="73" t="s">
        <v>245</v>
      </c>
      <c r="CI25" s="73" t="s">
        <v>245</v>
      </c>
      <c r="CJ25" s="73" t="s">
        <v>245</v>
      </c>
      <c r="CK25" s="73" t="s">
        <v>245</v>
      </c>
      <c r="CL25" s="73" t="s">
        <v>245</v>
      </c>
      <c r="CM25" s="73" t="s">
        <v>245</v>
      </c>
      <c r="CN25" s="73" t="s">
        <v>245</v>
      </c>
      <c r="CO25" s="73" t="s">
        <v>245</v>
      </c>
      <c r="CP25" s="73" t="s">
        <v>245</v>
      </c>
      <c r="CQ25" s="69" t="s">
        <v>245</v>
      </c>
      <c r="CR25" s="73" t="s">
        <v>245</v>
      </c>
      <c r="CS25" s="69" t="s">
        <v>245</v>
      </c>
      <c r="CT25" s="70" t="s">
        <v>245</v>
      </c>
      <c r="CU25" s="73" t="s">
        <v>245</v>
      </c>
      <c r="CV25" s="73" t="s">
        <v>245</v>
      </c>
      <c r="CW25" s="73" t="s">
        <v>245</v>
      </c>
      <c r="CX25" s="73" t="s">
        <v>245</v>
      </c>
      <c r="CY25" s="73" t="s">
        <v>245</v>
      </c>
      <c r="CZ25" s="73" t="s">
        <v>245</v>
      </c>
      <c r="DA25" s="73" t="s">
        <v>245</v>
      </c>
      <c r="DB25" s="73" t="s">
        <v>245</v>
      </c>
      <c r="DC25" s="73" t="s">
        <v>245</v>
      </c>
      <c r="DD25" s="73" t="s">
        <v>245</v>
      </c>
      <c r="DE25" s="73" t="s">
        <v>245</v>
      </c>
      <c r="DF25" s="70" t="s">
        <v>245</v>
      </c>
      <c r="DG25" s="73" t="s">
        <v>245</v>
      </c>
      <c r="DH25" s="70" t="s">
        <v>245</v>
      </c>
      <c r="DI25" s="70" t="s">
        <v>245</v>
      </c>
      <c r="DJ25" s="73" t="s">
        <v>245</v>
      </c>
      <c r="DK25" s="73" t="s">
        <v>245</v>
      </c>
      <c r="DL25" s="73" t="s">
        <v>245</v>
      </c>
      <c r="DM25" s="73" t="s">
        <v>245</v>
      </c>
      <c r="DN25" s="73" t="s">
        <v>245</v>
      </c>
      <c r="DO25" s="73" t="s">
        <v>245</v>
      </c>
      <c r="DP25" s="73" t="s">
        <v>245</v>
      </c>
      <c r="DQ25" s="73" t="s">
        <v>245</v>
      </c>
      <c r="DR25" s="73" t="s">
        <v>245</v>
      </c>
      <c r="DS25" s="73" t="s">
        <v>245</v>
      </c>
      <c r="DT25" s="70" t="s">
        <v>245</v>
      </c>
      <c r="DU25" s="70" t="s">
        <v>245</v>
      </c>
      <c r="DV25" s="73" t="s">
        <v>245</v>
      </c>
      <c r="DW25" s="70" t="s">
        <v>245</v>
      </c>
      <c r="DX25" s="70" t="s">
        <v>245</v>
      </c>
      <c r="DY25" s="73" t="s">
        <v>245</v>
      </c>
      <c r="DZ25" s="73" t="s">
        <v>245</v>
      </c>
      <c r="EA25" s="73" t="s">
        <v>245</v>
      </c>
      <c r="EB25" s="73" t="s">
        <v>245</v>
      </c>
      <c r="EC25" s="73" t="s">
        <v>245</v>
      </c>
      <c r="ED25" s="73" t="s">
        <v>245</v>
      </c>
      <c r="EE25" s="73" t="s">
        <v>245</v>
      </c>
      <c r="EF25" s="73" t="s">
        <v>245</v>
      </c>
      <c r="EG25" s="73" t="s">
        <v>245</v>
      </c>
      <c r="EH25" s="73" t="s">
        <v>245</v>
      </c>
      <c r="EI25" s="69" t="s">
        <v>245</v>
      </c>
      <c r="EJ25" s="70" t="s">
        <v>245</v>
      </c>
      <c r="EK25" s="70" t="s">
        <v>245</v>
      </c>
      <c r="EL25" s="70" t="s">
        <v>245</v>
      </c>
      <c r="EM25" s="70" t="s">
        <v>245</v>
      </c>
      <c r="EN25" s="73" t="s">
        <v>245</v>
      </c>
      <c r="EO25" s="73" t="s">
        <v>245</v>
      </c>
      <c r="EP25" s="73" t="s">
        <v>245</v>
      </c>
      <c r="EQ25" s="73" t="s">
        <v>245</v>
      </c>
      <c r="ER25" s="73" t="s">
        <v>245</v>
      </c>
      <c r="ES25" s="73" t="s">
        <v>245</v>
      </c>
      <c r="ET25" s="73" t="s">
        <v>245</v>
      </c>
      <c r="EU25" s="73" t="s">
        <v>245</v>
      </c>
      <c r="EV25" s="73" t="s">
        <v>245</v>
      </c>
      <c r="EW25" s="73" t="s">
        <v>245</v>
      </c>
      <c r="EX25" s="73" t="s">
        <v>245</v>
      </c>
      <c r="EY25" s="70" t="s">
        <v>245</v>
      </c>
      <c r="EZ25" s="73" t="s">
        <v>245</v>
      </c>
      <c r="FA25" s="70" t="s">
        <v>579</v>
      </c>
      <c r="FB25" s="70" t="s">
        <v>272</v>
      </c>
      <c r="FC25" s="73">
        <v>2021</v>
      </c>
      <c r="FD25" s="73" t="s">
        <v>580</v>
      </c>
      <c r="FE25" s="73" t="s">
        <v>581</v>
      </c>
      <c r="FF25" s="73" t="s">
        <v>275</v>
      </c>
      <c r="FG25" s="73" t="s">
        <v>245</v>
      </c>
      <c r="FH25" s="73" t="s">
        <v>275</v>
      </c>
      <c r="FI25" s="73" t="s">
        <v>275</v>
      </c>
      <c r="FJ25" s="70" t="s">
        <v>275</v>
      </c>
      <c r="FK25" s="70" t="s">
        <v>582</v>
      </c>
      <c r="FL25" s="70" t="s">
        <v>272</v>
      </c>
      <c r="FM25" s="70">
        <v>2008</v>
      </c>
      <c r="FN25" s="70" t="s">
        <v>510</v>
      </c>
      <c r="FO25" s="70" t="s">
        <v>583</v>
      </c>
      <c r="FP25" s="70" t="s">
        <v>275</v>
      </c>
      <c r="FQ25" s="70" t="s">
        <v>245</v>
      </c>
      <c r="FR25" s="70" t="s">
        <v>275</v>
      </c>
      <c r="FS25" s="70" t="s">
        <v>275</v>
      </c>
      <c r="FT25" s="70" t="s">
        <v>275</v>
      </c>
      <c r="FU25" s="70" t="s">
        <v>245</v>
      </c>
      <c r="FV25" s="70" t="s">
        <v>245</v>
      </c>
      <c r="FW25" s="70" t="s">
        <v>245</v>
      </c>
      <c r="FX25" s="70" t="s">
        <v>245</v>
      </c>
      <c r="FY25" s="70" t="s">
        <v>245</v>
      </c>
      <c r="FZ25" s="70" t="s">
        <v>245</v>
      </c>
      <c r="GA25" s="70" t="s">
        <v>245</v>
      </c>
      <c r="GB25" s="70" t="s">
        <v>245</v>
      </c>
      <c r="GC25" s="70" t="s">
        <v>245</v>
      </c>
      <c r="GD25" s="70" t="s">
        <v>245</v>
      </c>
      <c r="GE25" s="70" t="s">
        <v>245</v>
      </c>
      <c r="GF25" s="70" t="s">
        <v>245</v>
      </c>
      <c r="GG25" s="70" t="s">
        <v>245</v>
      </c>
      <c r="GH25" s="70" t="s">
        <v>245</v>
      </c>
      <c r="GI25" s="70" t="s">
        <v>245</v>
      </c>
      <c r="GJ25" s="70" t="s">
        <v>245</v>
      </c>
      <c r="GK25" s="70" t="s">
        <v>245</v>
      </c>
      <c r="GL25" s="70" t="s">
        <v>245</v>
      </c>
      <c r="GM25" s="70" t="s">
        <v>245</v>
      </c>
      <c r="GN25" s="70" t="s">
        <v>245</v>
      </c>
      <c r="GO25" s="70" t="s">
        <v>245</v>
      </c>
      <c r="GP25" s="70" t="s">
        <v>245</v>
      </c>
      <c r="GQ25" s="70" t="s">
        <v>245</v>
      </c>
      <c r="GR25" s="70" t="s">
        <v>245</v>
      </c>
      <c r="GS25" s="70" t="s">
        <v>245</v>
      </c>
      <c r="GT25" s="70" t="s">
        <v>245</v>
      </c>
      <c r="GU25" s="70" t="s">
        <v>245</v>
      </c>
      <c r="GV25" s="70" t="s">
        <v>245</v>
      </c>
      <c r="GW25" s="70" t="s">
        <v>245</v>
      </c>
      <c r="GX25" s="70" t="s">
        <v>245</v>
      </c>
      <c r="GY25" s="70" t="s">
        <v>245</v>
      </c>
      <c r="GZ25" s="70" t="s">
        <v>245</v>
      </c>
      <c r="HA25" s="70" t="s">
        <v>245</v>
      </c>
      <c r="HB25" s="70" t="s">
        <v>245</v>
      </c>
      <c r="HC25" s="70" t="s">
        <v>245</v>
      </c>
      <c r="HD25" s="70" t="s">
        <v>245</v>
      </c>
      <c r="HE25" s="70" t="s">
        <v>245</v>
      </c>
      <c r="HF25" s="70" t="s">
        <v>245</v>
      </c>
      <c r="HG25" s="70" t="s">
        <v>245</v>
      </c>
      <c r="HH25" s="70" t="s">
        <v>245</v>
      </c>
      <c r="HI25" s="70" t="s">
        <v>245</v>
      </c>
      <c r="HJ25" s="70" t="s">
        <v>245</v>
      </c>
      <c r="HK25" s="70" t="s">
        <v>245</v>
      </c>
      <c r="HL25" s="70" t="s">
        <v>245</v>
      </c>
      <c r="HM25" s="70" t="s">
        <v>245</v>
      </c>
      <c r="HN25" s="70" t="s">
        <v>245</v>
      </c>
      <c r="HO25" s="70" t="s">
        <v>245</v>
      </c>
      <c r="HP25" s="70" t="s">
        <v>245</v>
      </c>
      <c r="HQ25" s="70" t="s">
        <v>245</v>
      </c>
      <c r="HR25" s="70" t="s">
        <v>245</v>
      </c>
      <c r="HS25" s="70" t="s">
        <v>245</v>
      </c>
      <c r="HT25" s="70" t="s">
        <v>245</v>
      </c>
      <c r="HU25" s="70" t="s">
        <v>245</v>
      </c>
      <c r="HV25" s="70" t="s">
        <v>245</v>
      </c>
      <c r="HW25" s="70" t="s">
        <v>245</v>
      </c>
      <c r="HX25" s="70" t="s">
        <v>245</v>
      </c>
      <c r="HY25" s="70" t="s">
        <v>245</v>
      </c>
      <c r="HZ25" s="70" t="s">
        <v>245</v>
      </c>
      <c r="IA25" s="70" t="s">
        <v>245</v>
      </c>
      <c r="IB25" s="70" t="s">
        <v>245</v>
      </c>
      <c r="IC25" s="70">
        <f>AVERAGE(Tabla1[[#This Row],[Año 5]],Tabla1[[#This Row],[Año 4]],Tabla1[[#This Row],[Año 3]],Tabla1[[#This Row],[Año 2]],Tabla1[[#This Row],[Año]])</f>
        <v>2014.5</v>
      </c>
    </row>
    <row r="26" spans="2:237" s="1" customFormat="1" ht="14" x14ac:dyDescent="0.3">
      <c r="B26" s="68">
        <v>12</v>
      </c>
      <c r="C26" s="1" t="s">
        <v>584</v>
      </c>
      <c r="D26" s="69" t="s">
        <v>245</v>
      </c>
      <c r="E26" s="69" t="s">
        <v>246</v>
      </c>
      <c r="F26" s="13" t="s">
        <v>585</v>
      </c>
      <c r="G26" s="69" t="s">
        <v>586</v>
      </c>
      <c r="H26" s="70" t="s">
        <v>245</v>
      </c>
      <c r="I26" s="70" t="s">
        <v>245</v>
      </c>
      <c r="J26" s="70" t="s">
        <v>245</v>
      </c>
      <c r="K26" s="70" t="s">
        <v>245</v>
      </c>
      <c r="L26" s="70" t="s">
        <v>245</v>
      </c>
      <c r="M26" s="70" t="s">
        <v>245</v>
      </c>
      <c r="N26" s="70" t="s">
        <v>587</v>
      </c>
      <c r="O26" s="70" t="s">
        <v>245</v>
      </c>
      <c r="P26" s="70" t="s">
        <v>245</v>
      </c>
      <c r="Q26" s="70" t="s">
        <v>245</v>
      </c>
      <c r="R26" s="70" t="s">
        <v>245</v>
      </c>
      <c r="S26" s="70" t="s">
        <v>245</v>
      </c>
      <c r="T26" s="81" t="s">
        <v>467</v>
      </c>
      <c r="U26" s="81" t="s">
        <v>467</v>
      </c>
      <c r="V26" s="81" t="s">
        <v>467</v>
      </c>
      <c r="W26" s="73" t="s">
        <v>584</v>
      </c>
      <c r="X26" s="73" t="s">
        <v>588</v>
      </c>
      <c r="Y26" s="44" t="s">
        <v>589</v>
      </c>
      <c r="Z26" s="73" t="s">
        <v>256</v>
      </c>
      <c r="AA26" s="73" t="s">
        <v>256</v>
      </c>
      <c r="AB26" s="73" t="s">
        <v>258</v>
      </c>
      <c r="AC26" s="73" t="s">
        <v>258</v>
      </c>
      <c r="AD26" s="73" t="s">
        <v>382</v>
      </c>
      <c r="AE26" s="73" t="s">
        <v>245</v>
      </c>
      <c r="AF26" s="73" t="s">
        <v>259</v>
      </c>
      <c r="AG26" s="73" t="s">
        <v>256</v>
      </c>
      <c r="AH26" s="73" t="s">
        <v>256</v>
      </c>
      <c r="AI26" s="73" t="s">
        <v>256</v>
      </c>
      <c r="AJ26" s="73" t="s">
        <v>256</v>
      </c>
      <c r="AK26" s="69" t="s">
        <v>590</v>
      </c>
      <c r="AL26" s="69" t="s">
        <v>591</v>
      </c>
      <c r="AM26" s="73" t="s">
        <v>256</v>
      </c>
      <c r="AN26" s="73" t="s">
        <v>592</v>
      </c>
      <c r="AO26" s="73" t="s">
        <v>592</v>
      </c>
      <c r="AP26" s="73" t="s">
        <v>256</v>
      </c>
      <c r="AQ26" s="73" t="s">
        <v>256</v>
      </c>
      <c r="AR26" s="74" t="s">
        <v>593</v>
      </c>
      <c r="AS26" s="73" t="s">
        <v>263</v>
      </c>
      <c r="AT26" s="73" t="s">
        <v>263</v>
      </c>
      <c r="AU26" s="73" t="s">
        <v>263</v>
      </c>
      <c r="AV26" s="73" t="s">
        <v>256</v>
      </c>
      <c r="AW26" s="73" t="s">
        <v>264</v>
      </c>
      <c r="AX26" s="44" t="s">
        <v>589</v>
      </c>
      <c r="AY26" s="69">
        <v>88396671</v>
      </c>
      <c r="AZ26" s="69" t="s">
        <v>245</v>
      </c>
      <c r="BA26" s="70" t="s">
        <v>245</v>
      </c>
      <c r="BB26" s="73" t="s">
        <v>245</v>
      </c>
      <c r="BC26" s="73" t="s">
        <v>245</v>
      </c>
      <c r="BD26" s="73" t="s">
        <v>245</v>
      </c>
      <c r="BE26" s="73" t="s">
        <v>245</v>
      </c>
      <c r="BF26" s="73" t="s">
        <v>245</v>
      </c>
      <c r="BG26" s="73" t="s">
        <v>245</v>
      </c>
      <c r="BH26" s="73" t="s">
        <v>245</v>
      </c>
      <c r="BI26" s="73" t="s">
        <v>245</v>
      </c>
      <c r="BJ26" s="73" t="s">
        <v>245</v>
      </c>
      <c r="BK26" s="73" t="s">
        <v>245</v>
      </c>
      <c r="BL26" s="70" t="s">
        <v>245</v>
      </c>
      <c r="BM26" s="69" t="s">
        <v>245</v>
      </c>
      <c r="BN26" s="69" t="s">
        <v>245</v>
      </c>
      <c r="BO26" s="70" t="s">
        <v>245</v>
      </c>
      <c r="BP26" s="70" t="s">
        <v>245</v>
      </c>
      <c r="BQ26" s="73" t="s">
        <v>245</v>
      </c>
      <c r="BR26" s="73" t="s">
        <v>245</v>
      </c>
      <c r="BS26" s="73" t="s">
        <v>245</v>
      </c>
      <c r="BT26" s="73" t="s">
        <v>245</v>
      </c>
      <c r="BU26" s="73" t="s">
        <v>245</v>
      </c>
      <c r="BV26" s="73" t="s">
        <v>245</v>
      </c>
      <c r="BW26" s="73" t="s">
        <v>245</v>
      </c>
      <c r="BX26" s="73" t="s">
        <v>245</v>
      </c>
      <c r="BY26" s="73" t="s">
        <v>245</v>
      </c>
      <c r="BZ26" s="73" t="s">
        <v>245</v>
      </c>
      <c r="CA26" s="70" t="s">
        <v>245</v>
      </c>
      <c r="CB26" s="70" t="s">
        <v>245</v>
      </c>
      <c r="CC26" s="73" t="s">
        <v>245</v>
      </c>
      <c r="CD26" s="70" t="s">
        <v>245</v>
      </c>
      <c r="CE26" s="70" t="s">
        <v>245</v>
      </c>
      <c r="CF26" s="73" t="s">
        <v>245</v>
      </c>
      <c r="CG26" s="73" t="s">
        <v>245</v>
      </c>
      <c r="CH26" s="73" t="s">
        <v>245</v>
      </c>
      <c r="CI26" s="73" t="s">
        <v>245</v>
      </c>
      <c r="CJ26" s="73" t="s">
        <v>245</v>
      </c>
      <c r="CK26" s="73" t="s">
        <v>245</v>
      </c>
      <c r="CL26" s="73" t="s">
        <v>245</v>
      </c>
      <c r="CM26" s="73" t="s">
        <v>245</v>
      </c>
      <c r="CN26" s="73" t="s">
        <v>245</v>
      </c>
      <c r="CO26" s="73" t="s">
        <v>245</v>
      </c>
      <c r="CP26" s="73" t="s">
        <v>245</v>
      </c>
      <c r="CQ26" s="69" t="s">
        <v>245</v>
      </c>
      <c r="CR26" s="73" t="s">
        <v>245</v>
      </c>
      <c r="CS26" s="69" t="s">
        <v>245</v>
      </c>
      <c r="CT26" s="70" t="s">
        <v>245</v>
      </c>
      <c r="CU26" s="73" t="s">
        <v>245</v>
      </c>
      <c r="CV26" s="73" t="s">
        <v>245</v>
      </c>
      <c r="CW26" s="73" t="s">
        <v>245</v>
      </c>
      <c r="CX26" s="73" t="s">
        <v>245</v>
      </c>
      <c r="CY26" s="73" t="s">
        <v>245</v>
      </c>
      <c r="CZ26" s="73" t="s">
        <v>245</v>
      </c>
      <c r="DA26" s="73" t="s">
        <v>245</v>
      </c>
      <c r="DB26" s="73" t="s">
        <v>245</v>
      </c>
      <c r="DC26" s="73" t="s">
        <v>245</v>
      </c>
      <c r="DD26" s="73" t="s">
        <v>245</v>
      </c>
      <c r="DE26" s="73" t="s">
        <v>245</v>
      </c>
      <c r="DF26" s="70" t="s">
        <v>245</v>
      </c>
      <c r="DG26" s="73" t="s">
        <v>245</v>
      </c>
      <c r="DH26" s="70" t="s">
        <v>245</v>
      </c>
      <c r="DI26" s="70" t="s">
        <v>245</v>
      </c>
      <c r="DJ26" s="73" t="s">
        <v>245</v>
      </c>
      <c r="DK26" s="73" t="s">
        <v>245</v>
      </c>
      <c r="DL26" s="73" t="s">
        <v>245</v>
      </c>
      <c r="DM26" s="73" t="s">
        <v>245</v>
      </c>
      <c r="DN26" s="73" t="s">
        <v>245</v>
      </c>
      <c r="DO26" s="73" t="s">
        <v>245</v>
      </c>
      <c r="DP26" s="73" t="s">
        <v>245</v>
      </c>
      <c r="DQ26" s="73" t="s">
        <v>245</v>
      </c>
      <c r="DR26" s="73" t="s">
        <v>245</v>
      </c>
      <c r="DS26" s="73" t="s">
        <v>245</v>
      </c>
      <c r="DT26" s="70" t="s">
        <v>245</v>
      </c>
      <c r="DU26" s="70" t="s">
        <v>245</v>
      </c>
      <c r="DV26" s="73" t="s">
        <v>245</v>
      </c>
      <c r="DW26" s="70" t="s">
        <v>245</v>
      </c>
      <c r="DX26" s="70" t="s">
        <v>245</v>
      </c>
      <c r="DY26" s="73" t="s">
        <v>245</v>
      </c>
      <c r="DZ26" s="73" t="s">
        <v>245</v>
      </c>
      <c r="EA26" s="73" t="s">
        <v>245</v>
      </c>
      <c r="EB26" s="73" t="s">
        <v>245</v>
      </c>
      <c r="EC26" s="73" t="s">
        <v>245</v>
      </c>
      <c r="ED26" s="73" t="s">
        <v>245</v>
      </c>
      <c r="EE26" s="73" t="s">
        <v>245</v>
      </c>
      <c r="EF26" s="73" t="s">
        <v>245</v>
      </c>
      <c r="EG26" s="73" t="s">
        <v>245</v>
      </c>
      <c r="EH26" s="73" t="s">
        <v>245</v>
      </c>
      <c r="EI26" s="69" t="s">
        <v>245</v>
      </c>
      <c r="EJ26" s="70" t="s">
        <v>245</v>
      </c>
      <c r="EK26" s="70" t="s">
        <v>245</v>
      </c>
      <c r="EL26" s="70" t="s">
        <v>245</v>
      </c>
      <c r="EM26" s="70" t="s">
        <v>245</v>
      </c>
      <c r="EN26" s="73" t="s">
        <v>245</v>
      </c>
      <c r="EO26" s="73" t="s">
        <v>245</v>
      </c>
      <c r="EP26" s="73" t="s">
        <v>245</v>
      </c>
      <c r="EQ26" s="73" t="s">
        <v>245</v>
      </c>
      <c r="ER26" s="73" t="s">
        <v>245</v>
      </c>
      <c r="ES26" s="73" t="s">
        <v>245</v>
      </c>
      <c r="ET26" s="73" t="s">
        <v>245</v>
      </c>
      <c r="EU26" s="73" t="s">
        <v>245</v>
      </c>
      <c r="EV26" s="73" t="s">
        <v>245</v>
      </c>
      <c r="EW26" s="73" t="s">
        <v>245</v>
      </c>
      <c r="EX26" s="73" t="s">
        <v>245</v>
      </c>
      <c r="EY26" s="70" t="s">
        <v>245</v>
      </c>
      <c r="EZ26" s="73" t="s">
        <v>245</v>
      </c>
      <c r="FA26" s="70" t="s">
        <v>594</v>
      </c>
      <c r="FB26" s="70" t="s">
        <v>277</v>
      </c>
      <c r="FC26" s="73">
        <v>2012</v>
      </c>
      <c r="FD26" s="73" t="s">
        <v>595</v>
      </c>
      <c r="FE26" s="73" t="s">
        <v>596</v>
      </c>
      <c r="FF26" s="73" t="s">
        <v>275</v>
      </c>
      <c r="FG26" s="73" t="s">
        <v>245</v>
      </c>
      <c r="FH26" s="73" t="s">
        <v>275</v>
      </c>
      <c r="FI26" s="73" t="s">
        <v>275</v>
      </c>
      <c r="FJ26" s="70" t="s">
        <v>275</v>
      </c>
      <c r="FK26" s="70" t="s">
        <v>245</v>
      </c>
      <c r="FL26" s="70" t="s">
        <v>245</v>
      </c>
      <c r="FM26" s="70" t="s">
        <v>245</v>
      </c>
      <c r="FN26" s="70" t="s">
        <v>245</v>
      </c>
      <c r="FO26" s="70" t="s">
        <v>245</v>
      </c>
      <c r="FP26" s="70" t="s">
        <v>245</v>
      </c>
      <c r="FQ26" s="70" t="s">
        <v>245</v>
      </c>
      <c r="FR26" s="70" t="s">
        <v>245</v>
      </c>
      <c r="FS26" s="70" t="s">
        <v>245</v>
      </c>
      <c r="FT26" s="70" t="s">
        <v>245</v>
      </c>
      <c r="FU26" s="70" t="s">
        <v>245</v>
      </c>
      <c r="FV26" s="70" t="s">
        <v>245</v>
      </c>
      <c r="FW26" s="70" t="s">
        <v>245</v>
      </c>
      <c r="FX26" s="70" t="s">
        <v>245</v>
      </c>
      <c r="FY26" s="70" t="s">
        <v>245</v>
      </c>
      <c r="FZ26" s="70" t="s">
        <v>245</v>
      </c>
      <c r="GA26" s="70" t="s">
        <v>245</v>
      </c>
      <c r="GB26" s="70" t="s">
        <v>245</v>
      </c>
      <c r="GC26" s="70" t="s">
        <v>245</v>
      </c>
      <c r="GD26" s="70" t="s">
        <v>245</v>
      </c>
      <c r="GE26" s="70" t="s">
        <v>245</v>
      </c>
      <c r="GF26" s="70" t="s">
        <v>245</v>
      </c>
      <c r="GG26" s="70" t="s">
        <v>245</v>
      </c>
      <c r="GH26" s="70" t="s">
        <v>245</v>
      </c>
      <c r="GI26" s="70" t="s">
        <v>245</v>
      </c>
      <c r="GJ26" s="70" t="s">
        <v>245</v>
      </c>
      <c r="GK26" s="70" t="s">
        <v>245</v>
      </c>
      <c r="GL26" s="70" t="s">
        <v>245</v>
      </c>
      <c r="GM26" s="70" t="s">
        <v>245</v>
      </c>
      <c r="GN26" s="70" t="s">
        <v>245</v>
      </c>
      <c r="GO26" s="70" t="s">
        <v>245</v>
      </c>
      <c r="GP26" s="70" t="s">
        <v>245</v>
      </c>
      <c r="GQ26" s="70" t="s">
        <v>245</v>
      </c>
      <c r="GR26" s="70" t="s">
        <v>245</v>
      </c>
      <c r="GS26" s="70" t="s">
        <v>245</v>
      </c>
      <c r="GT26" s="70" t="s">
        <v>245</v>
      </c>
      <c r="GU26" s="70" t="s">
        <v>245</v>
      </c>
      <c r="GV26" s="70" t="s">
        <v>245</v>
      </c>
      <c r="GW26" s="70" t="s">
        <v>245</v>
      </c>
      <c r="GX26" s="70" t="s">
        <v>245</v>
      </c>
      <c r="GY26" s="70" t="s">
        <v>245</v>
      </c>
      <c r="GZ26" s="70" t="s">
        <v>245</v>
      </c>
      <c r="HA26" s="70" t="s">
        <v>245</v>
      </c>
      <c r="HB26" s="70" t="s">
        <v>245</v>
      </c>
      <c r="HC26" s="70" t="s">
        <v>245</v>
      </c>
      <c r="HD26" s="70" t="s">
        <v>245</v>
      </c>
      <c r="HE26" s="70" t="s">
        <v>245</v>
      </c>
      <c r="HF26" s="70" t="s">
        <v>245</v>
      </c>
      <c r="HG26" s="70" t="s">
        <v>245</v>
      </c>
      <c r="HH26" s="70" t="s">
        <v>245</v>
      </c>
      <c r="HI26" s="70" t="s">
        <v>245</v>
      </c>
      <c r="HJ26" s="70" t="s">
        <v>245</v>
      </c>
      <c r="HK26" s="70" t="s">
        <v>245</v>
      </c>
      <c r="HL26" s="70" t="s">
        <v>245</v>
      </c>
      <c r="HM26" s="70" t="s">
        <v>245</v>
      </c>
      <c r="HN26" s="70" t="s">
        <v>245</v>
      </c>
      <c r="HO26" s="70" t="s">
        <v>245</v>
      </c>
      <c r="HP26" s="70" t="s">
        <v>245</v>
      </c>
      <c r="HQ26" s="70" t="s">
        <v>245</v>
      </c>
      <c r="HR26" s="70" t="s">
        <v>245</v>
      </c>
      <c r="HS26" s="70" t="s">
        <v>245</v>
      </c>
      <c r="HT26" s="70" t="s">
        <v>245</v>
      </c>
      <c r="HU26" s="70" t="s">
        <v>245</v>
      </c>
      <c r="HV26" s="70" t="s">
        <v>245</v>
      </c>
      <c r="HW26" s="70" t="s">
        <v>245</v>
      </c>
      <c r="HX26" s="70" t="s">
        <v>245</v>
      </c>
      <c r="HY26" s="70" t="s">
        <v>245</v>
      </c>
      <c r="HZ26" s="70" t="s">
        <v>245</v>
      </c>
      <c r="IA26" s="70" t="s">
        <v>245</v>
      </c>
      <c r="IB26" s="70" t="s">
        <v>245</v>
      </c>
      <c r="IC26" s="70">
        <f>AVERAGE(Tabla1[[#This Row],[Año 5]],Tabla1[[#This Row],[Año 4]],Tabla1[[#This Row],[Año 3]],Tabla1[[#This Row],[Año 2]],Tabla1[[#This Row],[Año]])</f>
        <v>2012</v>
      </c>
    </row>
    <row r="27" spans="2:237" s="1" customFormat="1" ht="28" x14ac:dyDescent="0.3">
      <c r="B27" s="92">
        <v>13</v>
      </c>
      <c r="C27" s="1" t="s">
        <v>597</v>
      </c>
      <c r="D27" s="69" t="s">
        <v>245</v>
      </c>
      <c r="E27" s="69" t="s">
        <v>246</v>
      </c>
      <c r="F27" s="13" t="s">
        <v>598</v>
      </c>
      <c r="G27" s="69" t="s">
        <v>599</v>
      </c>
      <c r="H27" s="70" t="s">
        <v>245</v>
      </c>
      <c r="I27" s="70" t="s">
        <v>245</v>
      </c>
      <c r="J27" s="70" t="s">
        <v>245</v>
      </c>
      <c r="K27" s="70" t="s">
        <v>245</v>
      </c>
      <c r="L27" s="70" t="s">
        <v>245</v>
      </c>
      <c r="M27" s="70" t="s">
        <v>245</v>
      </c>
      <c r="N27" s="81" t="s">
        <v>348</v>
      </c>
      <c r="O27" s="70" t="s">
        <v>600</v>
      </c>
      <c r="P27" s="70" t="s">
        <v>601</v>
      </c>
      <c r="Q27" s="70" t="s">
        <v>245</v>
      </c>
      <c r="R27" s="70" t="s">
        <v>245</v>
      </c>
      <c r="S27" s="70" t="s">
        <v>245</v>
      </c>
      <c r="T27" s="70" t="s">
        <v>251</v>
      </c>
      <c r="U27" s="70" t="s">
        <v>602</v>
      </c>
      <c r="V27" s="70" t="s">
        <v>603</v>
      </c>
      <c r="W27" s="73" t="s">
        <v>597</v>
      </c>
      <c r="X27" s="76" t="s">
        <v>604</v>
      </c>
      <c r="Y27" s="69" t="s">
        <v>605</v>
      </c>
      <c r="Z27" s="73" t="s">
        <v>256</v>
      </c>
      <c r="AA27" s="74" t="s">
        <v>467</v>
      </c>
      <c r="AB27" s="73" t="s">
        <v>606</v>
      </c>
      <c r="AC27" s="73" t="s">
        <v>258</v>
      </c>
      <c r="AD27" s="73" t="s">
        <v>382</v>
      </c>
      <c r="AE27" s="73" t="s">
        <v>245</v>
      </c>
      <c r="AF27" s="73" t="s">
        <v>259</v>
      </c>
      <c r="AG27" s="73" t="s">
        <v>259</v>
      </c>
      <c r="AH27" s="73" t="s">
        <v>256</v>
      </c>
      <c r="AI27" s="73" t="s">
        <v>256</v>
      </c>
      <c r="AJ27" s="73" t="s">
        <v>256</v>
      </c>
      <c r="AK27" s="69" t="s">
        <v>607</v>
      </c>
      <c r="AL27" s="69" t="s">
        <v>608</v>
      </c>
      <c r="AM27" s="73" t="s">
        <v>256</v>
      </c>
      <c r="AN27" s="93" t="s">
        <v>415</v>
      </c>
      <c r="AO27" s="93" t="s">
        <v>609</v>
      </c>
      <c r="AP27" s="73" t="s">
        <v>256</v>
      </c>
      <c r="AQ27" s="73" t="s">
        <v>256</v>
      </c>
      <c r="AR27" s="73" t="s">
        <v>262</v>
      </c>
      <c r="AS27" s="73" t="s">
        <v>263</v>
      </c>
      <c r="AT27" s="73" t="s">
        <v>263</v>
      </c>
      <c r="AU27" s="73" t="s">
        <v>275</v>
      </c>
      <c r="AV27" s="73" t="s">
        <v>256</v>
      </c>
      <c r="AW27" s="73" t="s">
        <v>264</v>
      </c>
      <c r="AX27" s="44" t="s">
        <v>605</v>
      </c>
      <c r="AY27" s="69" t="s">
        <v>610</v>
      </c>
      <c r="AZ27" s="69" t="s">
        <v>611</v>
      </c>
      <c r="BA27" s="70" t="s">
        <v>612</v>
      </c>
      <c r="BB27" s="73" t="s">
        <v>256</v>
      </c>
      <c r="BC27" s="73">
        <v>4</v>
      </c>
      <c r="BD27" s="73">
        <v>26</v>
      </c>
      <c r="BE27" s="73" t="s">
        <v>256</v>
      </c>
      <c r="BF27" s="73" t="s">
        <v>256</v>
      </c>
      <c r="BG27" s="73" t="s">
        <v>470</v>
      </c>
      <c r="BH27" s="73" t="s">
        <v>263</v>
      </c>
      <c r="BI27" s="73" t="s">
        <v>263</v>
      </c>
      <c r="BJ27" s="73" t="s">
        <v>263</v>
      </c>
      <c r="BK27" s="73" t="s">
        <v>256</v>
      </c>
      <c r="BL27" s="70" t="s">
        <v>264</v>
      </c>
      <c r="BM27" s="69" t="s">
        <v>613</v>
      </c>
      <c r="BN27" s="94" t="s">
        <v>614</v>
      </c>
      <c r="BO27" s="81" t="s">
        <v>615</v>
      </c>
      <c r="BP27" s="81" t="s">
        <v>616</v>
      </c>
      <c r="BQ27" s="74" t="s">
        <v>617</v>
      </c>
      <c r="BR27" s="74" t="s">
        <v>617</v>
      </c>
      <c r="BS27" s="74" t="s">
        <v>617</v>
      </c>
      <c r="BT27" s="73" t="s">
        <v>256</v>
      </c>
      <c r="BU27" s="73" t="s">
        <v>256</v>
      </c>
      <c r="BV27" s="74" t="s">
        <v>617</v>
      </c>
      <c r="BW27" s="73" t="s">
        <v>245</v>
      </c>
      <c r="BX27" s="73" t="s">
        <v>245</v>
      </c>
      <c r="BY27" s="73" t="s">
        <v>245</v>
      </c>
      <c r="BZ27" s="74" t="s">
        <v>617</v>
      </c>
      <c r="CA27" s="81" t="s">
        <v>617</v>
      </c>
      <c r="CB27" s="73" t="s">
        <v>618</v>
      </c>
      <c r="CC27" s="73">
        <v>64320248</v>
      </c>
      <c r="CD27" s="81" t="s">
        <v>619</v>
      </c>
      <c r="CE27" s="81" t="s">
        <v>359</v>
      </c>
      <c r="CF27" s="74" t="s">
        <v>617</v>
      </c>
      <c r="CG27" s="74" t="s">
        <v>617</v>
      </c>
      <c r="CH27" s="74" t="s">
        <v>617</v>
      </c>
      <c r="CI27" s="73" t="s">
        <v>256</v>
      </c>
      <c r="CJ27" s="73" t="s">
        <v>256</v>
      </c>
      <c r="CK27" s="93" t="s">
        <v>267</v>
      </c>
      <c r="CL27" s="73" t="s">
        <v>245</v>
      </c>
      <c r="CM27" s="73" t="s">
        <v>245</v>
      </c>
      <c r="CN27" s="73" t="s">
        <v>245</v>
      </c>
      <c r="CO27" s="73" t="s">
        <v>256</v>
      </c>
      <c r="CP27" s="74" t="s">
        <v>617</v>
      </c>
      <c r="CQ27" s="49" t="s">
        <v>620</v>
      </c>
      <c r="CR27" s="73">
        <v>86097012</v>
      </c>
      <c r="CS27" s="69" t="s">
        <v>245</v>
      </c>
      <c r="CT27" s="70" t="s">
        <v>245</v>
      </c>
      <c r="CU27" s="73" t="s">
        <v>245</v>
      </c>
      <c r="CV27" s="73" t="s">
        <v>245</v>
      </c>
      <c r="CW27" s="73" t="s">
        <v>245</v>
      </c>
      <c r="CX27" s="73" t="s">
        <v>245</v>
      </c>
      <c r="CY27" s="73" t="s">
        <v>245</v>
      </c>
      <c r="CZ27" s="73" t="s">
        <v>245</v>
      </c>
      <c r="DA27" s="73" t="s">
        <v>245</v>
      </c>
      <c r="DB27" s="73" t="s">
        <v>245</v>
      </c>
      <c r="DC27" s="73" t="s">
        <v>245</v>
      </c>
      <c r="DD27" s="73" t="s">
        <v>245</v>
      </c>
      <c r="DE27" s="73" t="s">
        <v>245</v>
      </c>
      <c r="DF27" s="70" t="s">
        <v>245</v>
      </c>
      <c r="DG27" s="73" t="s">
        <v>245</v>
      </c>
      <c r="DH27" s="70" t="s">
        <v>245</v>
      </c>
      <c r="DI27" s="70" t="s">
        <v>245</v>
      </c>
      <c r="DJ27" s="73" t="s">
        <v>245</v>
      </c>
      <c r="DK27" s="73" t="s">
        <v>245</v>
      </c>
      <c r="DL27" s="73" t="s">
        <v>245</v>
      </c>
      <c r="DM27" s="73" t="s">
        <v>245</v>
      </c>
      <c r="DN27" s="73" t="s">
        <v>245</v>
      </c>
      <c r="DO27" s="73" t="s">
        <v>245</v>
      </c>
      <c r="DP27" s="73" t="s">
        <v>245</v>
      </c>
      <c r="DQ27" s="73" t="s">
        <v>245</v>
      </c>
      <c r="DR27" s="73" t="s">
        <v>245</v>
      </c>
      <c r="DS27" s="73" t="s">
        <v>245</v>
      </c>
      <c r="DT27" s="70" t="s">
        <v>245</v>
      </c>
      <c r="DU27" s="70" t="s">
        <v>245</v>
      </c>
      <c r="DV27" s="73" t="s">
        <v>245</v>
      </c>
      <c r="DW27" s="70" t="s">
        <v>245</v>
      </c>
      <c r="DX27" s="70" t="s">
        <v>245</v>
      </c>
      <c r="DY27" s="73" t="s">
        <v>245</v>
      </c>
      <c r="DZ27" s="73" t="s">
        <v>245</v>
      </c>
      <c r="EA27" s="73" t="s">
        <v>245</v>
      </c>
      <c r="EB27" s="73" t="s">
        <v>245</v>
      </c>
      <c r="EC27" s="73" t="s">
        <v>245</v>
      </c>
      <c r="ED27" s="73" t="s">
        <v>245</v>
      </c>
      <c r="EE27" s="73" t="s">
        <v>245</v>
      </c>
      <c r="EF27" s="73" t="s">
        <v>245</v>
      </c>
      <c r="EG27" s="73" t="s">
        <v>245</v>
      </c>
      <c r="EH27" s="73" t="s">
        <v>245</v>
      </c>
      <c r="EI27" s="69" t="s">
        <v>245</v>
      </c>
      <c r="EJ27" s="70" t="s">
        <v>245</v>
      </c>
      <c r="EK27" s="70" t="s">
        <v>245</v>
      </c>
      <c r="EL27" s="70" t="s">
        <v>245</v>
      </c>
      <c r="EM27" s="70" t="s">
        <v>245</v>
      </c>
      <c r="EN27" s="73" t="s">
        <v>245</v>
      </c>
      <c r="EO27" s="73" t="s">
        <v>245</v>
      </c>
      <c r="EP27" s="73" t="s">
        <v>245</v>
      </c>
      <c r="EQ27" s="73" t="s">
        <v>245</v>
      </c>
      <c r="ER27" s="73" t="s">
        <v>245</v>
      </c>
      <c r="ES27" s="73" t="s">
        <v>245</v>
      </c>
      <c r="ET27" s="73" t="s">
        <v>245</v>
      </c>
      <c r="EU27" s="73" t="s">
        <v>245</v>
      </c>
      <c r="EV27" s="73" t="s">
        <v>245</v>
      </c>
      <c r="EW27" s="73" t="s">
        <v>245</v>
      </c>
      <c r="EX27" s="73" t="s">
        <v>245</v>
      </c>
      <c r="EY27" s="70" t="s">
        <v>245</v>
      </c>
      <c r="EZ27" s="73" t="s">
        <v>245</v>
      </c>
      <c r="FA27" s="70" t="s">
        <v>621</v>
      </c>
      <c r="FB27" s="70" t="s">
        <v>277</v>
      </c>
      <c r="FC27" s="73">
        <v>2019</v>
      </c>
      <c r="FD27" s="73" t="s">
        <v>278</v>
      </c>
      <c r="FE27" s="73" t="s">
        <v>622</v>
      </c>
      <c r="FF27" s="73" t="s">
        <v>275</v>
      </c>
      <c r="FG27" s="73" t="s">
        <v>245</v>
      </c>
      <c r="FH27" s="73" t="s">
        <v>275</v>
      </c>
      <c r="FI27" s="73" t="s">
        <v>275</v>
      </c>
      <c r="FJ27" s="70" t="s">
        <v>275</v>
      </c>
      <c r="FK27" s="70" t="s">
        <v>623</v>
      </c>
      <c r="FL27" s="70" t="s">
        <v>272</v>
      </c>
      <c r="FM27" s="70">
        <v>2020</v>
      </c>
      <c r="FN27" s="70" t="s">
        <v>513</v>
      </c>
      <c r="FO27" s="70" t="s">
        <v>624</v>
      </c>
      <c r="FP27" s="70" t="s">
        <v>275</v>
      </c>
      <c r="FQ27" s="70" t="s">
        <v>245</v>
      </c>
      <c r="FR27" s="70" t="s">
        <v>275</v>
      </c>
      <c r="FS27" s="70" t="s">
        <v>275</v>
      </c>
      <c r="FT27" s="70" t="s">
        <v>275</v>
      </c>
      <c r="FU27" s="70" t="s">
        <v>625</v>
      </c>
      <c r="FV27" s="70" t="s">
        <v>277</v>
      </c>
      <c r="FW27" s="70">
        <v>2019</v>
      </c>
      <c r="FX27" s="70" t="s">
        <v>327</v>
      </c>
      <c r="FY27" s="70" t="s">
        <v>626</v>
      </c>
      <c r="FZ27" s="70" t="s">
        <v>275</v>
      </c>
      <c r="GA27" s="70" t="s">
        <v>245</v>
      </c>
      <c r="GB27" s="70" t="s">
        <v>275</v>
      </c>
      <c r="GC27" s="70" t="s">
        <v>275</v>
      </c>
      <c r="GD27" s="70" t="s">
        <v>275</v>
      </c>
      <c r="GE27" s="70" t="s">
        <v>627</v>
      </c>
      <c r="GF27" s="70" t="s">
        <v>399</v>
      </c>
      <c r="GG27" s="70">
        <v>2006</v>
      </c>
      <c r="GH27" s="70" t="s">
        <v>628</v>
      </c>
      <c r="GI27" s="70" t="s">
        <v>629</v>
      </c>
      <c r="GJ27" s="70" t="s">
        <v>275</v>
      </c>
      <c r="GK27" s="70" t="s">
        <v>245</v>
      </c>
      <c r="GL27" s="70" t="s">
        <v>275</v>
      </c>
      <c r="GM27" s="70" t="s">
        <v>275</v>
      </c>
      <c r="GN27" s="70" t="s">
        <v>275</v>
      </c>
      <c r="GO27" s="70" t="s">
        <v>630</v>
      </c>
      <c r="GP27" s="70" t="s">
        <v>272</v>
      </c>
      <c r="GQ27" s="70">
        <v>2014</v>
      </c>
      <c r="GR27" s="70" t="s">
        <v>580</v>
      </c>
      <c r="GS27" s="70" t="s">
        <v>631</v>
      </c>
      <c r="GT27" s="81" t="s">
        <v>617</v>
      </c>
      <c r="GU27" s="81" t="s">
        <v>617</v>
      </c>
      <c r="GV27" s="70" t="s">
        <v>632</v>
      </c>
      <c r="GW27" s="70" t="s">
        <v>632</v>
      </c>
      <c r="GX27" s="81" t="s">
        <v>617</v>
      </c>
      <c r="GY27" s="70" t="s">
        <v>633</v>
      </c>
      <c r="GZ27" s="70" t="s">
        <v>272</v>
      </c>
      <c r="HA27" s="70">
        <v>2020</v>
      </c>
      <c r="HB27" s="70" t="s">
        <v>628</v>
      </c>
      <c r="HC27" s="70" t="s">
        <v>634</v>
      </c>
      <c r="HD27" s="81" t="s">
        <v>617</v>
      </c>
      <c r="HE27" s="81" t="s">
        <v>617</v>
      </c>
      <c r="HF27" s="70" t="s">
        <v>632</v>
      </c>
      <c r="HG27" s="70" t="s">
        <v>632</v>
      </c>
      <c r="HH27" s="70" t="s">
        <v>632</v>
      </c>
      <c r="HI27" s="70" t="s">
        <v>245</v>
      </c>
      <c r="HJ27" s="70" t="s">
        <v>245</v>
      </c>
      <c r="HK27" s="70" t="s">
        <v>245</v>
      </c>
      <c r="HL27" s="70" t="s">
        <v>245</v>
      </c>
      <c r="HM27" s="70" t="s">
        <v>245</v>
      </c>
      <c r="HN27" s="70" t="s">
        <v>245</v>
      </c>
      <c r="HO27" s="70" t="s">
        <v>245</v>
      </c>
      <c r="HP27" s="70" t="s">
        <v>245</v>
      </c>
      <c r="HQ27" s="70" t="s">
        <v>245</v>
      </c>
      <c r="HR27" s="70" t="s">
        <v>245</v>
      </c>
      <c r="HS27" s="70" t="s">
        <v>245</v>
      </c>
      <c r="HT27" s="70" t="s">
        <v>245</v>
      </c>
      <c r="HU27" s="70" t="s">
        <v>245</v>
      </c>
      <c r="HV27" s="70" t="s">
        <v>245</v>
      </c>
      <c r="HW27" s="70" t="s">
        <v>245</v>
      </c>
      <c r="HX27" s="70" t="s">
        <v>245</v>
      </c>
      <c r="HY27" s="70" t="s">
        <v>245</v>
      </c>
      <c r="HZ27" s="70" t="s">
        <v>245</v>
      </c>
      <c r="IA27" s="70" t="s">
        <v>245</v>
      </c>
      <c r="IB27" s="70" t="s">
        <v>245</v>
      </c>
      <c r="IC27" s="70">
        <f>AVERAGE(Tabla1[[#This Row],[Año 5]],Tabla1[[#This Row],[Año 4]],Tabla1[[#This Row],[Año 3]],Tabla1[[#This Row],[Año 2]],Tabla1[[#This Row],[Año]])</f>
        <v>2015.6</v>
      </c>
    </row>
    <row r="28" spans="2:237" s="1" customFormat="1" ht="28" x14ac:dyDescent="0.3">
      <c r="B28" s="68">
        <v>14</v>
      </c>
      <c r="C28" s="1" t="s">
        <v>635</v>
      </c>
      <c r="D28" s="69" t="s">
        <v>245</v>
      </c>
      <c r="E28" s="69" t="s">
        <v>246</v>
      </c>
      <c r="F28" s="13" t="s">
        <v>636</v>
      </c>
      <c r="G28" s="69" t="s">
        <v>637</v>
      </c>
      <c r="H28" s="70" t="s">
        <v>245</v>
      </c>
      <c r="I28" s="70" t="s">
        <v>245</v>
      </c>
      <c r="J28" s="70" t="s">
        <v>245</v>
      </c>
      <c r="K28" s="70" t="s">
        <v>245</v>
      </c>
      <c r="L28" s="70" t="s">
        <v>245</v>
      </c>
      <c r="M28" s="70" t="s">
        <v>245</v>
      </c>
      <c r="N28" s="70" t="s">
        <v>638</v>
      </c>
      <c r="O28" s="70" t="s">
        <v>245</v>
      </c>
      <c r="P28" s="70" t="s">
        <v>245</v>
      </c>
      <c r="Q28" s="70" t="s">
        <v>245</v>
      </c>
      <c r="R28" s="70" t="s">
        <v>245</v>
      </c>
      <c r="S28" s="70" t="s">
        <v>245</v>
      </c>
      <c r="T28" s="70" t="s">
        <v>287</v>
      </c>
      <c r="U28" s="70" t="s">
        <v>639</v>
      </c>
      <c r="V28" s="70" t="s">
        <v>640</v>
      </c>
      <c r="W28" s="73" t="s">
        <v>635</v>
      </c>
      <c r="X28" s="76" t="s">
        <v>641</v>
      </c>
      <c r="Y28" s="44" t="s">
        <v>642</v>
      </c>
      <c r="Z28" s="73" t="s">
        <v>256</v>
      </c>
      <c r="AA28" s="73" t="s">
        <v>256</v>
      </c>
      <c r="AB28" s="73" t="s">
        <v>256</v>
      </c>
      <c r="AC28" s="73" t="s">
        <v>256</v>
      </c>
      <c r="AD28" s="73" t="s">
        <v>256</v>
      </c>
      <c r="AE28" s="73" t="s">
        <v>245</v>
      </c>
      <c r="AF28" s="73" t="s">
        <v>259</v>
      </c>
      <c r="AG28" s="73" t="s">
        <v>256</v>
      </c>
      <c r="AH28" s="73" t="s">
        <v>256</v>
      </c>
      <c r="AI28" s="73" t="s">
        <v>256</v>
      </c>
      <c r="AJ28" s="73" t="s">
        <v>256</v>
      </c>
      <c r="AK28" s="69" t="s">
        <v>643</v>
      </c>
      <c r="AL28" s="69" t="s">
        <v>644</v>
      </c>
      <c r="AM28" s="79" t="s">
        <v>256</v>
      </c>
      <c r="AN28" s="73" t="s">
        <v>645</v>
      </c>
      <c r="AO28" s="73" t="s">
        <v>415</v>
      </c>
      <c r="AP28" s="73" t="s">
        <v>256</v>
      </c>
      <c r="AQ28" s="73" t="s">
        <v>256</v>
      </c>
      <c r="AR28" s="73" t="s">
        <v>470</v>
      </c>
      <c r="AS28" s="73" t="s">
        <v>263</v>
      </c>
      <c r="AT28" s="73" t="s">
        <v>263</v>
      </c>
      <c r="AU28" s="73" t="s">
        <v>263</v>
      </c>
      <c r="AV28" s="73" t="s">
        <v>256</v>
      </c>
      <c r="AW28" s="73" t="s">
        <v>264</v>
      </c>
      <c r="AX28" s="49" t="s">
        <v>646</v>
      </c>
      <c r="AY28" s="69">
        <v>60204729</v>
      </c>
      <c r="AZ28" s="69" t="s">
        <v>647</v>
      </c>
      <c r="BA28" s="70" t="s">
        <v>644</v>
      </c>
      <c r="BB28" s="73" t="s">
        <v>256</v>
      </c>
      <c r="BC28" s="73" t="s">
        <v>648</v>
      </c>
      <c r="BD28" s="73" t="s">
        <v>423</v>
      </c>
      <c r="BE28" s="73" t="s">
        <v>256</v>
      </c>
      <c r="BF28" s="73" t="s">
        <v>256</v>
      </c>
      <c r="BG28" s="73" t="s">
        <v>262</v>
      </c>
      <c r="BH28" s="73" t="s">
        <v>263</v>
      </c>
      <c r="BI28" s="73" t="s">
        <v>263</v>
      </c>
      <c r="BJ28" s="73" t="s">
        <v>263</v>
      </c>
      <c r="BK28" s="73" t="s">
        <v>256</v>
      </c>
      <c r="BL28" s="70" t="s">
        <v>264</v>
      </c>
      <c r="BM28" s="49" t="s">
        <v>642</v>
      </c>
      <c r="BN28" s="69">
        <v>62927630</v>
      </c>
      <c r="BO28" s="70" t="s">
        <v>245</v>
      </c>
      <c r="BP28" s="70" t="s">
        <v>245</v>
      </c>
      <c r="BQ28" s="73" t="s">
        <v>245</v>
      </c>
      <c r="BR28" s="73" t="s">
        <v>245</v>
      </c>
      <c r="BS28" s="73" t="s">
        <v>245</v>
      </c>
      <c r="BT28" s="73" t="s">
        <v>245</v>
      </c>
      <c r="BU28" s="73" t="s">
        <v>245</v>
      </c>
      <c r="BV28" s="73" t="s">
        <v>245</v>
      </c>
      <c r="BW28" s="73" t="s">
        <v>245</v>
      </c>
      <c r="BX28" s="73" t="s">
        <v>245</v>
      </c>
      <c r="BY28" s="73" t="s">
        <v>245</v>
      </c>
      <c r="BZ28" s="73" t="s">
        <v>245</v>
      </c>
      <c r="CA28" s="70" t="s">
        <v>245</v>
      </c>
      <c r="CB28" s="70" t="s">
        <v>245</v>
      </c>
      <c r="CC28" s="73" t="s">
        <v>245</v>
      </c>
      <c r="CD28" s="70" t="s">
        <v>245</v>
      </c>
      <c r="CE28" s="70" t="s">
        <v>245</v>
      </c>
      <c r="CF28" s="73" t="s">
        <v>245</v>
      </c>
      <c r="CG28" s="73" t="s">
        <v>245</v>
      </c>
      <c r="CH28" s="73" t="s">
        <v>245</v>
      </c>
      <c r="CI28" s="73" t="s">
        <v>245</v>
      </c>
      <c r="CJ28" s="73" t="s">
        <v>245</v>
      </c>
      <c r="CK28" s="73" t="s">
        <v>245</v>
      </c>
      <c r="CL28" s="73" t="s">
        <v>245</v>
      </c>
      <c r="CM28" s="73" t="s">
        <v>245</v>
      </c>
      <c r="CN28" s="73" t="s">
        <v>245</v>
      </c>
      <c r="CO28" s="73" t="s">
        <v>245</v>
      </c>
      <c r="CP28" s="73" t="s">
        <v>245</v>
      </c>
      <c r="CQ28" s="69" t="s">
        <v>245</v>
      </c>
      <c r="CR28" s="73" t="s">
        <v>245</v>
      </c>
      <c r="CS28" s="69" t="s">
        <v>245</v>
      </c>
      <c r="CT28" s="70" t="s">
        <v>245</v>
      </c>
      <c r="CU28" s="73" t="s">
        <v>245</v>
      </c>
      <c r="CV28" s="73" t="s">
        <v>245</v>
      </c>
      <c r="CW28" s="73" t="s">
        <v>245</v>
      </c>
      <c r="CX28" s="73" t="s">
        <v>245</v>
      </c>
      <c r="CY28" s="73" t="s">
        <v>245</v>
      </c>
      <c r="CZ28" s="73" t="s">
        <v>245</v>
      </c>
      <c r="DA28" s="73" t="s">
        <v>245</v>
      </c>
      <c r="DB28" s="73" t="s">
        <v>245</v>
      </c>
      <c r="DC28" s="73" t="s">
        <v>245</v>
      </c>
      <c r="DD28" s="73" t="s">
        <v>245</v>
      </c>
      <c r="DE28" s="73" t="s">
        <v>245</v>
      </c>
      <c r="DF28" s="70" t="s">
        <v>245</v>
      </c>
      <c r="DG28" s="73" t="s">
        <v>245</v>
      </c>
      <c r="DH28" s="70" t="s">
        <v>245</v>
      </c>
      <c r="DI28" s="70" t="s">
        <v>245</v>
      </c>
      <c r="DJ28" s="73" t="s">
        <v>245</v>
      </c>
      <c r="DK28" s="73" t="s">
        <v>245</v>
      </c>
      <c r="DL28" s="73" t="s">
        <v>245</v>
      </c>
      <c r="DM28" s="73" t="s">
        <v>245</v>
      </c>
      <c r="DN28" s="73" t="s">
        <v>245</v>
      </c>
      <c r="DO28" s="73" t="s">
        <v>245</v>
      </c>
      <c r="DP28" s="73" t="s">
        <v>245</v>
      </c>
      <c r="DQ28" s="73" t="s">
        <v>245</v>
      </c>
      <c r="DR28" s="73" t="s">
        <v>245</v>
      </c>
      <c r="DS28" s="73" t="s">
        <v>245</v>
      </c>
      <c r="DT28" s="70" t="s">
        <v>245</v>
      </c>
      <c r="DU28" s="70" t="s">
        <v>245</v>
      </c>
      <c r="DV28" s="73" t="s">
        <v>245</v>
      </c>
      <c r="DW28" s="70" t="s">
        <v>245</v>
      </c>
      <c r="DX28" s="70" t="s">
        <v>245</v>
      </c>
      <c r="DY28" s="73" t="s">
        <v>245</v>
      </c>
      <c r="DZ28" s="73" t="s">
        <v>245</v>
      </c>
      <c r="EA28" s="73" t="s">
        <v>245</v>
      </c>
      <c r="EB28" s="73" t="s">
        <v>245</v>
      </c>
      <c r="EC28" s="73" t="s">
        <v>245</v>
      </c>
      <c r="ED28" s="73" t="s">
        <v>245</v>
      </c>
      <c r="EE28" s="73" t="s">
        <v>245</v>
      </c>
      <c r="EF28" s="73" t="s">
        <v>245</v>
      </c>
      <c r="EG28" s="73" t="s">
        <v>245</v>
      </c>
      <c r="EH28" s="73" t="s">
        <v>245</v>
      </c>
      <c r="EI28" s="69" t="s">
        <v>245</v>
      </c>
      <c r="EJ28" s="70" t="s">
        <v>245</v>
      </c>
      <c r="EK28" s="70" t="s">
        <v>245</v>
      </c>
      <c r="EL28" s="70" t="s">
        <v>245</v>
      </c>
      <c r="EM28" s="70" t="s">
        <v>245</v>
      </c>
      <c r="EN28" s="73" t="s">
        <v>245</v>
      </c>
      <c r="EO28" s="73" t="s">
        <v>245</v>
      </c>
      <c r="EP28" s="73" t="s">
        <v>245</v>
      </c>
      <c r="EQ28" s="73" t="s">
        <v>245</v>
      </c>
      <c r="ER28" s="73" t="s">
        <v>245</v>
      </c>
      <c r="ES28" s="73" t="s">
        <v>245</v>
      </c>
      <c r="ET28" s="73" t="s">
        <v>245</v>
      </c>
      <c r="EU28" s="73" t="s">
        <v>245</v>
      </c>
      <c r="EV28" s="73" t="s">
        <v>245</v>
      </c>
      <c r="EW28" s="73" t="s">
        <v>245</v>
      </c>
      <c r="EX28" s="73" t="s">
        <v>245</v>
      </c>
      <c r="EY28" s="70" t="s">
        <v>245</v>
      </c>
      <c r="EZ28" s="73" t="s">
        <v>245</v>
      </c>
      <c r="FA28" s="70" t="s">
        <v>649</v>
      </c>
      <c r="FB28" s="70" t="s">
        <v>277</v>
      </c>
      <c r="FC28" s="73">
        <v>2020</v>
      </c>
      <c r="FD28" s="73" t="s">
        <v>281</v>
      </c>
      <c r="FE28" s="73" t="s">
        <v>650</v>
      </c>
      <c r="FF28" s="73" t="s">
        <v>275</v>
      </c>
      <c r="FG28" s="73" t="s">
        <v>275</v>
      </c>
      <c r="FH28" s="73" t="s">
        <v>275</v>
      </c>
      <c r="FI28" s="73" t="s">
        <v>275</v>
      </c>
      <c r="FJ28" s="70" t="s">
        <v>275</v>
      </c>
      <c r="FK28" s="70" t="s">
        <v>651</v>
      </c>
      <c r="FL28" s="70" t="s">
        <v>399</v>
      </c>
      <c r="FM28" s="70">
        <v>2002</v>
      </c>
      <c r="FN28" s="70" t="s">
        <v>510</v>
      </c>
      <c r="FO28" s="70" t="s">
        <v>652</v>
      </c>
      <c r="FP28" s="70" t="s">
        <v>275</v>
      </c>
      <c r="FQ28" s="70" t="s">
        <v>245</v>
      </c>
      <c r="FR28" s="70" t="s">
        <v>275</v>
      </c>
      <c r="FS28" s="70" t="s">
        <v>275</v>
      </c>
      <c r="FT28" s="70" t="s">
        <v>275</v>
      </c>
      <c r="FU28" s="70" t="s">
        <v>245</v>
      </c>
      <c r="FV28" s="70" t="s">
        <v>245</v>
      </c>
      <c r="FW28" s="70" t="s">
        <v>245</v>
      </c>
      <c r="FX28" s="70" t="s">
        <v>245</v>
      </c>
      <c r="FY28" s="70" t="s">
        <v>245</v>
      </c>
      <c r="FZ28" s="70" t="s">
        <v>245</v>
      </c>
      <c r="GA28" s="70" t="s">
        <v>245</v>
      </c>
      <c r="GB28" s="70" t="s">
        <v>245</v>
      </c>
      <c r="GC28" s="70" t="s">
        <v>245</v>
      </c>
      <c r="GD28" s="70" t="s">
        <v>245</v>
      </c>
      <c r="GE28" s="70" t="s">
        <v>245</v>
      </c>
      <c r="GF28" s="70" t="s">
        <v>245</v>
      </c>
      <c r="GG28" s="70" t="s">
        <v>245</v>
      </c>
      <c r="GH28" s="70" t="s">
        <v>245</v>
      </c>
      <c r="GI28" s="70" t="s">
        <v>245</v>
      </c>
      <c r="GJ28" s="70" t="s">
        <v>245</v>
      </c>
      <c r="GK28" s="70" t="s">
        <v>245</v>
      </c>
      <c r="GL28" s="70" t="s">
        <v>245</v>
      </c>
      <c r="GM28" s="70" t="s">
        <v>245</v>
      </c>
      <c r="GN28" s="70" t="s">
        <v>245</v>
      </c>
      <c r="GO28" s="70" t="s">
        <v>245</v>
      </c>
      <c r="GP28" s="70" t="s">
        <v>245</v>
      </c>
      <c r="GQ28" s="70" t="s">
        <v>245</v>
      </c>
      <c r="GR28" s="70" t="s">
        <v>245</v>
      </c>
      <c r="GS28" s="70" t="s">
        <v>245</v>
      </c>
      <c r="GT28" s="70" t="s">
        <v>245</v>
      </c>
      <c r="GU28" s="70" t="s">
        <v>245</v>
      </c>
      <c r="GV28" s="70" t="s">
        <v>245</v>
      </c>
      <c r="GW28" s="70" t="s">
        <v>245</v>
      </c>
      <c r="GX28" s="70" t="s">
        <v>245</v>
      </c>
      <c r="GY28" s="70" t="s">
        <v>245</v>
      </c>
      <c r="GZ28" s="70" t="s">
        <v>245</v>
      </c>
      <c r="HA28" s="70" t="s">
        <v>245</v>
      </c>
      <c r="HB28" s="70" t="s">
        <v>245</v>
      </c>
      <c r="HC28" s="70" t="s">
        <v>245</v>
      </c>
      <c r="HD28" s="70" t="s">
        <v>245</v>
      </c>
      <c r="HE28" s="70" t="s">
        <v>245</v>
      </c>
      <c r="HF28" s="70" t="s">
        <v>245</v>
      </c>
      <c r="HG28" s="70" t="s">
        <v>245</v>
      </c>
      <c r="HH28" s="70" t="s">
        <v>245</v>
      </c>
      <c r="HI28" s="70" t="s">
        <v>245</v>
      </c>
      <c r="HJ28" s="70" t="s">
        <v>245</v>
      </c>
      <c r="HK28" s="70" t="s">
        <v>245</v>
      </c>
      <c r="HL28" s="70" t="s">
        <v>245</v>
      </c>
      <c r="HM28" s="70" t="s">
        <v>245</v>
      </c>
      <c r="HN28" s="70" t="s">
        <v>245</v>
      </c>
      <c r="HO28" s="70" t="s">
        <v>245</v>
      </c>
      <c r="HP28" s="70" t="s">
        <v>245</v>
      </c>
      <c r="HQ28" s="70" t="s">
        <v>245</v>
      </c>
      <c r="HR28" s="70" t="s">
        <v>245</v>
      </c>
      <c r="HS28" s="70" t="s">
        <v>245</v>
      </c>
      <c r="HT28" s="70" t="s">
        <v>245</v>
      </c>
      <c r="HU28" s="70" t="s">
        <v>245</v>
      </c>
      <c r="HV28" s="70" t="s">
        <v>245</v>
      </c>
      <c r="HW28" s="70" t="s">
        <v>245</v>
      </c>
      <c r="HX28" s="70" t="s">
        <v>245</v>
      </c>
      <c r="HY28" s="70" t="s">
        <v>245</v>
      </c>
      <c r="HZ28" s="70" t="s">
        <v>245</v>
      </c>
      <c r="IA28" s="70" t="s">
        <v>245</v>
      </c>
      <c r="IB28" s="70" t="s">
        <v>245</v>
      </c>
      <c r="IC28" s="70">
        <f>AVERAGE(Tabla1[[#This Row],[Año 5]],Tabla1[[#This Row],[Año 4]],Tabla1[[#This Row],[Año 3]],Tabla1[[#This Row],[Año 2]],Tabla1[[#This Row],[Año]])</f>
        <v>2011</v>
      </c>
    </row>
    <row r="29" spans="2:237" s="1" customFormat="1" ht="28" x14ac:dyDescent="0.3">
      <c r="B29" s="68">
        <v>15</v>
      </c>
      <c r="C29" s="1" t="s">
        <v>653</v>
      </c>
      <c r="D29" s="69" t="s">
        <v>245</v>
      </c>
      <c r="E29" s="69" t="s">
        <v>246</v>
      </c>
      <c r="F29" s="13" t="s">
        <v>654</v>
      </c>
      <c r="G29" s="69" t="s">
        <v>655</v>
      </c>
      <c r="H29" s="70" t="s">
        <v>245</v>
      </c>
      <c r="I29" s="70" t="s">
        <v>245</v>
      </c>
      <c r="J29" s="70" t="s">
        <v>245</v>
      </c>
      <c r="K29" s="70" t="s">
        <v>245</v>
      </c>
      <c r="L29" s="70" t="s">
        <v>245</v>
      </c>
      <c r="M29" s="70" t="s">
        <v>245</v>
      </c>
      <c r="N29" s="70" t="s">
        <v>656</v>
      </c>
      <c r="O29" s="70" t="s">
        <v>245</v>
      </c>
      <c r="P29" s="70" t="s">
        <v>245</v>
      </c>
      <c r="Q29" s="70" t="s">
        <v>245</v>
      </c>
      <c r="R29" s="70" t="s">
        <v>245</v>
      </c>
      <c r="S29" s="70" t="s">
        <v>245</v>
      </c>
      <c r="T29" s="70" t="s">
        <v>251</v>
      </c>
      <c r="U29" s="70" t="s">
        <v>657</v>
      </c>
      <c r="V29" s="70" t="s">
        <v>658</v>
      </c>
      <c r="W29" s="73" t="s">
        <v>659</v>
      </c>
      <c r="X29" s="76" t="s">
        <v>660</v>
      </c>
      <c r="Y29" s="43" t="s">
        <v>661</v>
      </c>
      <c r="Z29" s="73" t="s">
        <v>256</v>
      </c>
      <c r="AA29" s="73" t="s">
        <v>256</v>
      </c>
      <c r="AB29" s="73" t="s">
        <v>258</v>
      </c>
      <c r="AC29" s="73" t="s">
        <v>258</v>
      </c>
      <c r="AD29" s="73" t="s">
        <v>258</v>
      </c>
      <c r="AE29" s="73" t="s">
        <v>245</v>
      </c>
      <c r="AF29" s="73" t="s">
        <v>259</v>
      </c>
      <c r="AG29" s="73" t="s">
        <v>256</v>
      </c>
      <c r="AH29" s="73" t="s">
        <v>256</v>
      </c>
      <c r="AI29" s="73" t="s">
        <v>256</v>
      </c>
      <c r="AJ29" s="73" t="s">
        <v>256</v>
      </c>
      <c r="AK29" s="69" t="s">
        <v>662</v>
      </c>
      <c r="AL29" s="69" t="s">
        <v>663</v>
      </c>
      <c r="AM29" s="73" t="s">
        <v>256</v>
      </c>
      <c r="AN29" s="73" t="s">
        <v>664</v>
      </c>
      <c r="AO29" s="73" t="s">
        <v>543</v>
      </c>
      <c r="AP29" s="73" t="s">
        <v>256</v>
      </c>
      <c r="AQ29" s="73" t="s">
        <v>256</v>
      </c>
      <c r="AR29" s="73" t="s">
        <v>470</v>
      </c>
      <c r="AS29" s="73" t="s">
        <v>263</v>
      </c>
      <c r="AT29" s="73" t="s">
        <v>263</v>
      </c>
      <c r="AU29" s="73" t="s">
        <v>263</v>
      </c>
      <c r="AV29" s="73" t="s">
        <v>256</v>
      </c>
      <c r="AW29" s="73" t="s">
        <v>264</v>
      </c>
      <c r="AX29" s="44" t="s">
        <v>661</v>
      </c>
      <c r="AY29" s="69">
        <v>71924676</v>
      </c>
      <c r="AZ29" s="69" t="s">
        <v>665</v>
      </c>
      <c r="BA29" s="70" t="s">
        <v>663</v>
      </c>
      <c r="BB29" s="73" t="s">
        <v>256</v>
      </c>
      <c r="BC29" s="73">
        <v>1</v>
      </c>
      <c r="BD29" s="73">
        <v>6</v>
      </c>
      <c r="BE29" s="73" t="s">
        <v>256</v>
      </c>
      <c r="BF29" s="73" t="s">
        <v>256</v>
      </c>
      <c r="BG29" s="74" t="s">
        <v>666</v>
      </c>
      <c r="BH29" s="73" t="s">
        <v>263</v>
      </c>
      <c r="BI29" s="73" t="s">
        <v>263</v>
      </c>
      <c r="BJ29" s="73" t="s">
        <v>263</v>
      </c>
      <c r="BK29" s="73" t="s">
        <v>256</v>
      </c>
      <c r="BL29" s="70" t="s">
        <v>264</v>
      </c>
      <c r="BM29" s="44" t="s">
        <v>667</v>
      </c>
      <c r="BN29" s="69">
        <v>87640471</v>
      </c>
      <c r="BO29" s="70" t="s">
        <v>668</v>
      </c>
      <c r="BP29" s="70" t="s">
        <v>663</v>
      </c>
      <c r="BQ29" s="73" t="s">
        <v>256</v>
      </c>
      <c r="BR29" s="73" t="s">
        <v>540</v>
      </c>
      <c r="BS29" s="73" t="s">
        <v>450</v>
      </c>
      <c r="BT29" s="73" t="s">
        <v>256</v>
      </c>
      <c r="BU29" s="73" t="s">
        <v>256</v>
      </c>
      <c r="BV29" s="73" t="s">
        <v>470</v>
      </c>
      <c r="BW29" s="73" t="s">
        <v>263</v>
      </c>
      <c r="BX29" s="73" t="s">
        <v>263</v>
      </c>
      <c r="BY29" s="73" t="s">
        <v>263</v>
      </c>
      <c r="BZ29" s="73" t="s">
        <v>256</v>
      </c>
      <c r="CA29" s="70" t="s">
        <v>264</v>
      </c>
      <c r="CB29" s="45" t="s">
        <v>669</v>
      </c>
      <c r="CC29" s="73">
        <v>72262281</v>
      </c>
      <c r="CD29" s="70" t="s">
        <v>670</v>
      </c>
      <c r="CE29" s="70" t="s">
        <v>671</v>
      </c>
      <c r="CF29" s="73" t="s">
        <v>256</v>
      </c>
      <c r="CG29" s="73">
        <v>0</v>
      </c>
      <c r="CH29" s="73">
        <v>5</v>
      </c>
      <c r="CI29" s="73" t="s">
        <v>256</v>
      </c>
      <c r="CJ29" s="73" t="s">
        <v>256</v>
      </c>
      <c r="CK29" s="74" t="s">
        <v>666</v>
      </c>
      <c r="CL29" s="73" t="s">
        <v>263</v>
      </c>
      <c r="CM29" s="73" t="s">
        <v>263</v>
      </c>
      <c r="CN29" s="73" t="s">
        <v>263</v>
      </c>
      <c r="CO29" s="73" t="s">
        <v>256</v>
      </c>
      <c r="CP29" s="73" t="s">
        <v>264</v>
      </c>
      <c r="CQ29" s="44" t="s">
        <v>672</v>
      </c>
      <c r="CR29" s="73">
        <v>87542044</v>
      </c>
      <c r="CS29" s="69" t="s">
        <v>245</v>
      </c>
      <c r="CT29" s="70" t="s">
        <v>245</v>
      </c>
      <c r="CU29" s="73" t="s">
        <v>245</v>
      </c>
      <c r="CV29" s="73" t="s">
        <v>245</v>
      </c>
      <c r="CW29" s="73" t="s">
        <v>245</v>
      </c>
      <c r="CX29" s="73" t="s">
        <v>245</v>
      </c>
      <c r="CY29" s="73" t="s">
        <v>245</v>
      </c>
      <c r="CZ29" s="73" t="s">
        <v>245</v>
      </c>
      <c r="DA29" s="73" t="s">
        <v>245</v>
      </c>
      <c r="DB29" s="73" t="s">
        <v>245</v>
      </c>
      <c r="DC29" s="73" t="s">
        <v>245</v>
      </c>
      <c r="DD29" s="73" t="s">
        <v>245</v>
      </c>
      <c r="DE29" s="73" t="s">
        <v>245</v>
      </c>
      <c r="DF29" s="70" t="s">
        <v>245</v>
      </c>
      <c r="DG29" s="73" t="s">
        <v>245</v>
      </c>
      <c r="DH29" s="70" t="s">
        <v>245</v>
      </c>
      <c r="DI29" s="70" t="s">
        <v>245</v>
      </c>
      <c r="DJ29" s="73" t="s">
        <v>245</v>
      </c>
      <c r="DK29" s="73" t="s">
        <v>245</v>
      </c>
      <c r="DL29" s="73" t="s">
        <v>245</v>
      </c>
      <c r="DM29" s="73" t="s">
        <v>245</v>
      </c>
      <c r="DN29" s="73" t="s">
        <v>245</v>
      </c>
      <c r="DO29" s="73" t="s">
        <v>245</v>
      </c>
      <c r="DP29" s="73" t="s">
        <v>245</v>
      </c>
      <c r="DQ29" s="73" t="s">
        <v>245</v>
      </c>
      <c r="DR29" s="73" t="s">
        <v>245</v>
      </c>
      <c r="DS29" s="73" t="s">
        <v>245</v>
      </c>
      <c r="DT29" s="70" t="s">
        <v>245</v>
      </c>
      <c r="DU29" s="70" t="s">
        <v>245</v>
      </c>
      <c r="DV29" s="73" t="s">
        <v>245</v>
      </c>
      <c r="DW29" s="70" t="s">
        <v>245</v>
      </c>
      <c r="DX29" s="70" t="s">
        <v>245</v>
      </c>
      <c r="DY29" s="73" t="s">
        <v>245</v>
      </c>
      <c r="DZ29" s="73" t="s">
        <v>245</v>
      </c>
      <c r="EA29" s="73" t="s">
        <v>245</v>
      </c>
      <c r="EB29" s="73" t="s">
        <v>245</v>
      </c>
      <c r="EC29" s="73" t="s">
        <v>245</v>
      </c>
      <c r="ED29" s="73" t="s">
        <v>245</v>
      </c>
      <c r="EE29" s="73" t="s">
        <v>245</v>
      </c>
      <c r="EF29" s="73" t="s">
        <v>245</v>
      </c>
      <c r="EG29" s="73" t="s">
        <v>245</v>
      </c>
      <c r="EH29" s="73" t="s">
        <v>245</v>
      </c>
      <c r="EI29" s="69" t="s">
        <v>245</v>
      </c>
      <c r="EJ29" s="70" t="s">
        <v>245</v>
      </c>
      <c r="EK29" s="70" t="s">
        <v>245</v>
      </c>
      <c r="EL29" s="70" t="s">
        <v>245</v>
      </c>
      <c r="EM29" s="70" t="s">
        <v>245</v>
      </c>
      <c r="EN29" s="73" t="s">
        <v>245</v>
      </c>
      <c r="EO29" s="73" t="s">
        <v>245</v>
      </c>
      <c r="EP29" s="73" t="s">
        <v>245</v>
      </c>
      <c r="EQ29" s="73" t="s">
        <v>245</v>
      </c>
      <c r="ER29" s="73" t="s">
        <v>245</v>
      </c>
      <c r="ES29" s="73" t="s">
        <v>245</v>
      </c>
      <c r="ET29" s="73" t="s">
        <v>245</v>
      </c>
      <c r="EU29" s="73" t="s">
        <v>245</v>
      </c>
      <c r="EV29" s="73" t="s">
        <v>245</v>
      </c>
      <c r="EW29" s="73" t="s">
        <v>245</v>
      </c>
      <c r="EX29" s="73" t="s">
        <v>245</v>
      </c>
      <c r="EY29" s="70" t="s">
        <v>245</v>
      </c>
      <c r="EZ29" s="73" t="s">
        <v>245</v>
      </c>
      <c r="FA29" s="70" t="s">
        <v>673</v>
      </c>
      <c r="FB29" s="70" t="s">
        <v>277</v>
      </c>
      <c r="FC29" s="73">
        <v>2016</v>
      </c>
      <c r="FD29" s="73" t="s">
        <v>330</v>
      </c>
      <c r="FE29" s="73" t="s">
        <v>674</v>
      </c>
      <c r="FF29" s="73" t="s">
        <v>275</v>
      </c>
      <c r="FG29" s="73" t="s">
        <v>275</v>
      </c>
      <c r="FH29" s="73" t="s">
        <v>275</v>
      </c>
      <c r="FI29" s="73" t="s">
        <v>275</v>
      </c>
      <c r="FJ29" s="70" t="s">
        <v>475</v>
      </c>
      <c r="FK29" s="70" t="s">
        <v>675</v>
      </c>
      <c r="FL29" s="70" t="s">
        <v>277</v>
      </c>
      <c r="FM29" s="70">
        <v>2016</v>
      </c>
      <c r="FN29" s="70" t="s">
        <v>510</v>
      </c>
      <c r="FO29" s="70" t="s">
        <v>676</v>
      </c>
      <c r="FP29" s="70" t="s">
        <v>275</v>
      </c>
      <c r="FQ29" s="70" t="s">
        <v>245</v>
      </c>
      <c r="FR29" s="70" t="s">
        <v>275</v>
      </c>
      <c r="FS29" s="70" t="s">
        <v>275</v>
      </c>
      <c r="FT29" s="70" t="s">
        <v>275</v>
      </c>
      <c r="FU29" s="70" t="s">
        <v>677</v>
      </c>
      <c r="FV29" s="70" t="s">
        <v>277</v>
      </c>
      <c r="FW29" s="70">
        <v>2018</v>
      </c>
      <c r="FX29" s="70" t="s">
        <v>278</v>
      </c>
      <c r="FY29" s="70" t="s">
        <v>678</v>
      </c>
      <c r="FZ29" s="70" t="s">
        <v>275</v>
      </c>
      <c r="GA29" s="70" t="s">
        <v>245</v>
      </c>
      <c r="GB29" s="70" t="s">
        <v>275</v>
      </c>
      <c r="GC29" s="70" t="s">
        <v>275</v>
      </c>
      <c r="GD29" s="70" t="s">
        <v>275</v>
      </c>
      <c r="GE29" s="70" t="s">
        <v>679</v>
      </c>
      <c r="GF29" s="70" t="s">
        <v>277</v>
      </c>
      <c r="GG29" s="70">
        <v>2015</v>
      </c>
      <c r="GH29" s="70" t="s">
        <v>278</v>
      </c>
      <c r="GI29" s="70">
        <v>2015</v>
      </c>
      <c r="GJ29" s="70" t="s">
        <v>275</v>
      </c>
      <c r="GK29" s="70" t="s">
        <v>275</v>
      </c>
      <c r="GL29" s="70" t="s">
        <v>275</v>
      </c>
      <c r="GM29" s="70" t="s">
        <v>275</v>
      </c>
      <c r="GN29" s="70" t="s">
        <v>275</v>
      </c>
      <c r="GO29" s="70" t="s">
        <v>245</v>
      </c>
      <c r="GP29" s="70" t="s">
        <v>245</v>
      </c>
      <c r="GQ29" s="70" t="s">
        <v>245</v>
      </c>
      <c r="GR29" s="70" t="s">
        <v>245</v>
      </c>
      <c r="GS29" s="70" t="s">
        <v>245</v>
      </c>
      <c r="GT29" s="70" t="s">
        <v>245</v>
      </c>
      <c r="GU29" s="70" t="s">
        <v>245</v>
      </c>
      <c r="GV29" s="70" t="s">
        <v>245</v>
      </c>
      <c r="GW29" s="70" t="s">
        <v>245</v>
      </c>
      <c r="GX29" s="70" t="s">
        <v>245</v>
      </c>
      <c r="GY29" s="70" t="s">
        <v>245</v>
      </c>
      <c r="GZ29" s="70" t="s">
        <v>245</v>
      </c>
      <c r="HA29" s="70" t="s">
        <v>245</v>
      </c>
      <c r="HB29" s="70" t="s">
        <v>245</v>
      </c>
      <c r="HC29" s="70" t="s">
        <v>245</v>
      </c>
      <c r="HD29" s="70" t="s">
        <v>245</v>
      </c>
      <c r="HE29" s="70" t="s">
        <v>245</v>
      </c>
      <c r="HF29" s="70" t="s">
        <v>245</v>
      </c>
      <c r="HG29" s="70" t="s">
        <v>245</v>
      </c>
      <c r="HH29" s="70" t="s">
        <v>245</v>
      </c>
      <c r="HI29" s="70" t="s">
        <v>245</v>
      </c>
      <c r="HJ29" s="70" t="s">
        <v>245</v>
      </c>
      <c r="HK29" s="70" t="s">
        <v>245</v>
      </c>
      <c r="HL29" s="70" t="s">
        <v>245</v>
      </c>
      <c r="HM29" s="70" t="s">
        <v>245</v>
      </c>
      <c r="HN29" s="70" t="s">
        <v>245</v>
      </c>
      <c r="HO29" s="70" t="s">
        <v>245</v>
      </c>
      <c r="HP29" s="70" t="s">
        <v>245</v>
      </c>
      <c r="HQ29" s="70" t="s">
        <v>245</v>
      </c>
      <c r="HR29" s="70" t="s">
        <v>245</v>
      </c>
      <c r="HS29" s="70" t="s">
        <v>245</v>
      </c>
      <c r="HT29" s="70" t="s">
        <v>245</v>
      </c>
      <c r="HU29" s="70" t="s">
        <v>245</v>
      </c>
      <c r="HV29" s="70" t="s">
        <v>245</v>
      </c>
      <c r="HW29" s="70" t="s">
        <v>245</v>
      </c>
      <c r="HX29" s="70" t="s">
        <v>245</v>
      </c>
      <c r="HY29" s="70" t="s">
        <v>245</v>
      </c>
      <c r="HZ29" s="70" t="s">
        <v>245</v>
      </c>
      <c r="IA29" s="70" t="s">
        <v>245</v>
      </c>
      <c r="IB29" s="70" t="s">
        <v>245</v>
      </c>
      <c r="IC29" s="70">
        <f>AVERAGE(Tabla1[[#This Row],[Año 5]],Tabla1[[#This Row],[Año 4]],Tabla1[[#This Row],[Año 3]],Tabla1[[#This Row],[Año 2]],Tabla1[[#This Row],[Año]])</f>
        <v>2016.25</v>
      </c>
    </row>
    <row r="30" spans="2:237" s="1" customFormat="1" ht="14" x14ac:dyDescent="0.3">
      <c r="B30" s="68">
        <v>16</v>
      </c>
      <c r="C30" s="1" t="s">
        <v>680</v>
      </c>
      <c r="D30" s="69" t="s">
        <v>245</v>
      </c>
      <c r="E30" s="69" t="s">
        <v>246</v>
      </c>
      <c r="F30" s="13" t="s">
        <v>681</v>
      </c>
      <c r="G30" s="69" t="s">
        <v>682</v>
      </c>
      <c r="H30" s="70" t="s">
        <v>245</v>
      </c>
      <c r="I30" s="70" t="s">
        <v>245</v>
      </c>
      <c r="J30" s="70" t="s">
        <v>245</v>
      </c>
      <c r="K30" s="70" t="s">
        <v>245</v>
      </c>
      <c r="L30" s="70" t="s">
        <v>245</v>
      </c>
      <c r="M30" s="70" t="s">
        <v>245</v>
      </c>
      <c r="N30" s="70" t="s">
        <v>683</v>
      </c>
      <c r="O30" s="70" t="s">
        <v>245</v>
      </c>
      <c r="P30" s="70" t="s">
        <v>245</v>
      </c>
      <c r="Q30" s="70" t="s">
        <v>245</v>
      </c>
      <c r="R30" s="70" t="s">
        <v>245</v>
      </c>
      <c r="S30" s="70" t="s">
        <v>245</v>
      </c>
      <c r="T30" s="70" t="s">
        <v>251</v>
      </c>
      <c r="U30" s="70" t="s">
        <v>684</v>
      </c>
      <c r="V30" s="70" t="s">
        <v>685</v>
      </c>
      <c r="W30" s="73" t="s">
        <v>680</v>
      </c>
      <c r="X30" s="73">
        <v>84236098</v>
      </c>
      <c r="Y30" s="44" t="s">
        <v>686</v>
      </c>
      <c r="Z30" s="73" t="s">
        <v>256</v>
      </c>
      <c r="AA30" s="73" t="s">
        <v>256</v>
      </c>
      <c r="AB30" s="73" t="s">
        <v>258</v>
      </c>
      <c r="AC30" s="73" t="s">
        <v>258</v>
      </c>
      <c r="AD30" s="73" t="s">
        <v>382</v>
      </c>
      <c r="AE30" s="73" t="s">
        <v>245</v>
      </c>
      <c r="AF30" s="73" t="s">
        <v>256</v>
      </c>
      <c r="AG30" s="73" t="s">
        <v>256</v>
      </c>
      <c r="AH30" s="78" t="s">
        <v>687</v>
      </c>
      <c r="AI30" s="78" t="s">
        <v>687</v>
      </c>
      <c r="AJ30" s="73" t="s">
        <v>256</v>
      </c>
      <c r="AK30" s="69" t="s">
        <v>688</v>
      </c>
      <c r="AL30" s="69" t="s">
        <v>689</v>
      </c>
      <c r="AM30" s="73" t="s">
        <v>256</v>
      </c>
      <c r="AN30" s="73" t="s">
        <v>690</v>
      </c>
      <c r="AO30" s="73" t="s">
        <v>690</v>
      </c>
      <c r="AP30" s="73" t="s">
        <v>256</v>
      </c>
      <c r="AQ30" s="73" t="s">
        <v>256</v>
      </c>
      <c r="AR30" s="73" t="s">
        <v>267</v>
      </c>
      <c r="AS30" s="73" t="s">
        <v>263</v>
      </c>
      <c r="AT30" s="73" t="s">
        <v>263</v>
      </c>
      <c r="AU30" s="73" t="s">
        <v>263</v>
      </c>
      <c r="AV30" s="73" t="s">
        <v>256</v>
      </c>
      <c r="AW30" s="78" t="s">
        <v>687</v>
      </c>
      <c r="AX30" s="44" t="s">
        <v>691</v>
      </c>
      <c r="AY30" s="69">
        <v>88346322</v>
      </c>
      <c r="AZ30" s="69" t="s">
        <v>692</v>
      </c>
      <c r="BA30" s="70" t="s">
        <v>689</v>
      </c>
      <c r="BB30" s="73" t="s">
        <v>256</v>
      </c>
      <c r="BC30" s="79" t="s">
        <v>575</v>
      </c>
      <c r="BD30" s="79" t="s">
        <v>575</v>
      </c>
      <c r="BE30" s="73" t="s">
        <v>256</v>
      </c>
      <c r="BF30" s="73" t="s">
        <v>256</v>
      </c>
      <c r="BG30" s="73" t="s">
        <v>470</v>
      </c>
      <c r="BH30" s="73" t="s">
        <v>263</v>
      </c>
      <c r="BI30" s="73" t="s">
        <v>263</v>
      </c>
      <c r="BJ30" s="73" t="s">
        <v>263</v>
      </c>
      <c r="BK30" s="79" t="s">
        <v>256</v>
      </c>
      <c r="BL30" s="82" t="s">
        <v>521</v>
      </c>
      <c r="BM30" s="44" t="s">
        <v>693</v>
      </c>
      <c r="BN30" s="69">
        <v>86196664</v>
      </c>
      <c r="BO30" s="70" t="s">
        <v>245</v>
      </c>
      <c r="BP30" s="70" t="s">
        <v>245</v>
      </c>
      <c r="BQ30" s="73" t="s">
        <v>245</v>
      </c>
      <c r="BR30" s="73" t="s">
        <v>245</v>
      </c>
      <c r="BS30" s="73" t="s">
        <v>245</v>
      </c>
      <c r="BT30" s="73" t="s">
        <v>245</v>
      </c>
      <c r="BU30" s="73" t="s">
        <v>245</v>
      </c>
      <c r="BV30" s="73" t="s">
        <v>245</v>
      </c>
      <c r="BW30" s="73" t="s">
        <v>245</v>
      </c>
      <c r="BX30" s="73" t="s">
        <v>245</v>
      </c>
      <c r="BY30" s="73" t="s">
        <v>245</v>
      </c>
      <c r="BZ30" s="73" t="s">
        <v>245</v>
      </c>
      <c r="CA30" s="70" t="s">
        <v>245</v>
      </c>
      <c r="CB30" s="70" t="s">
        <v>245</v>
      </c>
      <c r="CC30" s="73" t="s">
        <v>245</v>
      </c>
      <c r="CD30" s="70" t="s">
        <v>245</v>
      </c>
      <c r="CE30" s="70" t="s">
        <v>245</v>
      </c>
      <c r="CF30" s="73" t="s">
        <v>245</v>
      </c>
      <c r="CG30" s="73" t="s">
        <v>245</v>
      </c>
      <c r="CH30" s="73" t="s">
        <v>245</v>
      </c>
      <c r="CI30" s="73" t="s">
        <v>245</v>
      </c>
      <c r="CJ30" s="73" t="s">
        <v>245</v>
      </c>
      <c r="CK30" s="73" t="s">
        <v>245</v>
      </c>
      <c r="CL30" s="73" t="s">
        <v>245</v>
      </c>
      <c r="CM30" s="73" t="s">
        <v>245</v>
      </c>
      <c r="CN30" s="73" t="s">
        <v>245</v>
      </c>
      <c r="CO30" s="73" t="s">
        <v>245</v>
      </c>
      <c r="CP30" s="73" t="s">
        <v>245</v>
      </c>
      <c r="CQ30" s="69" t="s">
        <v>245</v>
      </c>
      <c r="CR30" s="73" t="s">
        <v>245</v>
      </c>
      <c r="CS30" s="69" t="s">
        <v>245</v>
      </c>
      <c r="CT30" s="70" t="s">
        <v>245</v>
      </c>
      <c r="CU30" s="73" t="s">
        <v>245</v>
      </c>
      <c r="CV30" s="73" t="s">
        <v>245</v>
      </c>
      <c r="CW30" s="73" t="s">
        <v>245</v>
      </c>
      <c r="CX30" s="73" t="s">
        <v>245</v>
      </c>
      <c r="CY30" s="73" t="s">
        <v>245</v>
      </c>
      <c r="CZ30" s="73" t="s">
        <v>245</v>
      </c>
      <c r="DA30" s="73" t="s">
        <v>245</v>
      </c>
      <c r="DB30" s="73" t="s">
        <v>245</v>
      </c>
      <c r="DC30" s="73" t="s">
        <v>245</v>
      </c>
      <c r="DD30" s="73" t="s">
        <v>245</v>
      </c>
      <c r="DE30" s="73" t="s">
        <v>245</v>
      </c>
      <c r="DF30" s="70" t="s">
        <v>245</v>
      </c>
      <c r="DG30" s="73" t="s">
        <v>245</v>
      </c>
      <c r="DH30" s="70" t="s">
        <v>245</v>
      </c>
      <c r="DI30" s="70" t="s">
        <v>245</v>
      </c>
      <c r="DJ30" s="73" t="s">
        <v>245</v>
      </c>
      <c r="DK30" s="73" t="s">
        <v>245</v>
      </c>
      <c r="DL30" s="73" t="s">
        <v>245</v>
      </c>
      <c r="DM30" s="73" t="s">
        <v>245</v>
      </c>
      <c r="DN30" s="73" t="s">
        <v>245</v>
      </c>
      <c r="DO30" s="73" t="s">
        <v>245</v>
      </c>
      <c r="DP30" s="73" t="s">
        <v>245</v>
      </c>
      <c r="DQ30" s="73" t="s">
        <v>245</v>
      </c>
      <c r="DR30" s="73" t="s">
        <v>245</v>
      </c>
      <c r="DS30" s="73" t="s">
        <v>245</v>
      </c>
      <c r="DT30" s="70" t="s">
        <v>245</v>
      </c>
      <c r="DU30" s="70" t="s">
        <v>245</v>
      </c>
      <c r="DV30" s="73" t="s">
        <v>245</v>
      </c>
      <c r="DW30" s="70" t="s">
        <v>245</v>
      </c>
      <c r="DX30" s="70" t="s">
        <v>245</v>
      </c>
      <c r="DY30" s="73" t="s">
        <v>245</v>
      </c>
      <c r="DZ30" s="73" t="s">
        <v>245</v>
      </c>
      <c r="EA30" s="73" t="s">
        <v>245</v>
      </c>
      <c r="EB30" s="73" t="s">
        <v>245</v>
      </c>
      <c r="EC30" s="73" t="s">
        <v>245</v>
      </c>
      <c r="ED30" s="73" t="s">
        <v>245</v>
      </c>
      <c r="EE30" s="73" t="s">
        <v>245</v>
      </c>
      <c r="EF30" s="73" t="s">
        <v>245</v>
      </c>
      <c r="EG30" s="73" t="s">
        <v>245</v>
      </c>
      <c r="EH30" s="73" t="s">
        <v>245</v>
      </c>
      <c r="EI30" s="69" t="s">
        <v>245</v>
      </c>
      <c r="EJ30" s="70" t="s">
        <v>245</v>
      </c>
      <c r="EK30" s="70" t="s">
        <v>245</v>
      </c>
      <c r="EL30" s="70" t="s">
        <v>245</v>
      </c>
      <c r="EM30" s="70" t="s">
        <v>245</v>
      </c>
      <c r="EN30" s="73" t="s">
        <v>245</v>
      </c>
      <c r="EO30" s="73" t="s">
        <v>245</v>
      </c>
      <c r="EP30" s="73" t="s">
        <v>245</v>
      </c>
      <c r="EQ30" s="73" t="s">
        <v>245</v>
      </c>
      <c r="ER30" s="73" t="s">
        <v>245</v>
      </c>
      <c r="ES30" s="73" t="s">
        <v>245</v>
      </c>
      <c r="ET30" s="73" t="s">
        <v>245</v>
      </c>
      <c r="EU30" s="73" t="s">
        <v>245</v>
      </c>
      <c r="EV30" s="73" t="s">
        <v>245</v>
      </c>
      <c r="EW30" s="73" t="s">
        <v>245</v>
      </c>
      <c r="EX30" s="73" t="s">
        <v>245</v>
      </c>
      <c r="EY30" s="70" t="s">
        <v>245</v>
      </c>
      <c r="EZ30" s="73" t="s">
        <v>245</v>
      </c>
      <c r="FA30" s="70" t="s">
        <v>694</v>
      </c>
      <c r="FB30" s="70" t="s">
        <v>399</v>
      </c>
      <c r="FC30" s="73">
        <v>2002</v>
      </c>
      <c r="FD30" s="73" t="s">
        <v>580</v>
      </c>
      <c r="FE30" s="73" t="s">
        <v>695</v>
      </c>
      <c r="FF30" s="95" t="s">
        <v>275</v>
      </c>
      <c r="FG30" s="95" t="s">
        <v>245</v>
      </c>
      <c r="FH30" s="73" t="s">
        <v>275</v>
      </c>
      <c r="FI30" s="73" t="s">
        <v>275</v>
      </c>
      <c r="FJ30" s="70" t="s">
        <v>275</v>
      </c>
      <c r="FK30" s="70">
        <v>428180</v>
      </c>
      <c r="FL30" s="70" t="s">
        <v>399</v>
      </c>
      <c r="FM30" s="70">
        <v>2001</v>
      </c>
      <c r="FN30" s="70" t="s">
        <v>473</v>
      </c>
      <c r="FO30" s="70" t="s">
        <v>696</v>
      </c>
      <c r="FP30" s="70" t="s">
        <v>275</v>
      </c>
      <c r="FQ30" s="70" t="s">
        <v>245</v>
      </c>
      <c r="FR30" s="70" t="s">
        <v>275</v>
      </c>
      <c r="FS30" s="70" t="s">
        <v>275</v>
      </c>
      <c r="FT30" s="70" t="s">
        <v>275</v>
      </c>
      <c r="FU30" s="80" t="s">
        <v>697</v>
      </c>
      <c r="FV30" s="80" t="s">
        <v>277</v>
      </c>
      <c r="FW30" s="80">
        <v>2022</v>
      </c>
      <c r="FX30" s="80" t="s">
        <v>281</v>
      </c>
      <c r="FY30" s="80" t="s">
        <v>698</v>
      </c>
      <c r="FZ30" s="80" t="s">
        <v>275</v>
      </c>
      <c r="GA30" s="80" t="s">
        <v>245</v>
      </c>
      <c r="GB30" s="80" t="s">
        <v>275</v>
      </c>
      <c r="GC30" s="80" t="s">
        <v>275</v>
      </c>
      <c r="GD30" s="80" t="s">
        <v>275</v>
      </c>
      <c r="GE30" s="80" t="s">
        <v>245</v>
      </c>
      <c r="GF30" s="80" t="s">
        <v>245</v>
      </c>
      <c r="GG30" s="80" t="s">
        <v>245</v>
      </c>
      <c r="GH30" s="70" t="s">
        <v>245</v>
      </c>
      <c r="GI30" s="70" t="s">
        <v>245</v>
      </c>
      <c r="GJ30" s="70" t="s">
        <v>245</v>
      </c>
      <c r="GK30" s="70" t="s">
        <v>245</v>
      </c>
      <c r="GL30" s="70" t="s">
        <v>245</v>
      </c>
      <c r="GM30" s="70" t="s">
        <v>245</v>
      </c>
      <c r="GN30" s="70" t="s">
        <v>245</v>
      </c>
      <c r="GO30" s="70" t="s">
        <v>245</v>
      </c>
      <c r="GP30" s="70" t="s">
        <v>245</v>
      </c>
      <c r="GQ30" s="70" t="s">
        <v>245</v>
      </c>
      <c r="GR30" s="70" t="s">
        <v>245</v>
      </c>
      <c r="GS30" s="70" t="s">
        <v>245</v>
      </c>
      <c r="GT30" s="70" t="s">
        <v>245</v>
      </c>
      <c r="GU30" s="70" t="s">
        <v>245</v>
      </c>
      <c r="GV30" s="70" t="s">
        <v>245</v>
      </c>
      <c r="GW30" s="70" t="s">
        <v>245</v>
      </c>
      <c r="GX30" s="70" t="s">
        <v>245</v>
      </c>
      <c r="GY30" s="70" t="s">
        <v>245</v>
      </c>
      <c r="GZ30" s="70" t="s">
        <v>245</v>
      </c>
      <c r="HA30" s="70" t="s">
        <v>245</v>
      </c>
      <c r="HB30" s="70" t="s">
        <v>245</v>
      </c>
      <c r="HC30" s="70" t="s">
        <v>245</v>
      </c>
      <c r="HD30" s="70" t="s">
        <v>245</v>
      </c>
      <c r="HE30" s="70" t="s">
        <v>245</v>
      </c>
      <c r="HF30" s="70" t="s">
        <v>245</v>
      </c>
      <c r="HG30" s="70" t="s">
        <v>245</v>
      </c>
      <c r="HH30" s="70" t="s">
        <v>245</v>
      </c>
      <c r="HI30" s="70" t="s">
        <v>245</v>
      </c>
      <c r="HJ30" s="70" t="s">
        <v>245</v>
      </c>
      <c r="HK30" s="70" t="s">
        <v>245</v>
      </c>
      <c r="HL30" s="70" t="s">
        <v>245</v>
      </c>
      <c r="HM30" s="70" t="s">
        <v>245</v>
      </c>
      <c r="HN30" s="70" t="s">
        <v>245</v>
      </c>
      <c r="HO30" s="70" t="s">
        <v>245</v>
      </c>
      <c r="HP30" s="70" t="s">
        <v>245</v>
      </c>
      <c r="HQ30" s="70" t="s">
        <v>245</v>
      </c>
      <c r="HR30" s="70" t="s">
        <v>245</v>
      </c>
      <c r="HS30" s="70" t="s">
        <v>245</v>
      </c>
      <c r="HT30" s="70" t="s">
        <v>245</v>
      </c>
      <c r="HU30" s="70" t="s">
        <v>245</v>
      </c>
      <c r="HV30" s="70" t="s">
        <v>245</v>
      </c>
      <c r="HW30" s="70" t="s">
        <v>245</v>
      </c>
      <c r="HX30" s="70" t="s">
        <v>245</v>
      </c>
      <c r="HY30" s="70" t="s">
        <v>245</v>
      </c>
      <c r="HZ30" s="70" t="s">
        <v>245</v>
      </c>
      <c r="IA30" s="70" t="s">
        <v>245</v>
      </c>
      <c r="IB30" s="70" t="s">
        <v>245</v>
      </c>
      <c r="IC30" s="70">
        <f>AVERAGE(Tabla1[[#This Row],[Año 5]],Tabla1[[#This Row],[Año 4]],Tabla1[[#This Row],[Año 3]],Tabla1[[#This Row],[Año 2]],Tabla1[[#This Row],[Año]])</f>
        <v>2008.3333333333333</v>
      </c>
    </row>
    <row r="31" spans="2:237" s="1" customFormat="1" ht="14" x14ac:dyDescent="0.3">
      <c r="B31" s="68">
        <v>17</v>
      </c>
      <c r="C31" s="1" t="s">
        <v>699</v>
      </c>
      <c r="D31" s="69" t="s">
        <v>245</v>
      </c>
      <c r="E31" s="69" t="s">
        <v>246</v>
      </c>
      <c r="F31" s="13" t="s">
        <v>700</v>
      </c>
      <c r="G31" s="69" t="s">
        <v>701</v>
      </c>
      <c r="H31" s="70" t="s">
        <v>245</v>
      </c>
      <c r="I31" s="70" t="s">
        <v>245</v>
      </c>
      <c r="J31" s="70" t="s">
        <v>245</v>
      </c>
      <c r="K31" s="70" t="s">
        <v>245</v>
      </c>
      <c r="L31" s="70" t="s">
        <v>245</v>
      </c>
      <c r="M31" s="70" t="s">
        <v>245</v>
      </c>
      <c r="N31" s="70" t="s">
        <v>702</v>
      </c>
      <c r="O31" s="70" t="s">
        <v>245</v>
      </c>
      <c r="P31" s="70" t="s">
        <v>245</v>
      </c>
      <c r="Q31" s="70" t="s">
        <v>245</v>
      </c>
      <c r="R31" s="70" t="s">
        <v>245</v>
      </c>
      <c r="S31" s="70" t="s">
        <v>245</v>
      </c>
      <c r="T31" s="70" t="s">
        <v>287</v>
      </c>
      <c r="U31" s="70" t="s">
        <v>703</v>
      </c>
      <c r="V31" s="70" t="s">
        <v>704</v>
      </c>
      <c r="W31" s="73" t="s">
        <v>705</v>
      </c>
      <c r="X31" s="73" t="s">
        <v>706</v>
      </c>
      <c r="Y31" s="44" t="s">
        <v>707</v>
      </c>
      <c r="Z31" s="73" t="s">
        <v>256</v>
      </c>
      <c r="AA31" s="73" t="s">
        <v>256</v>
      </c>
      <c r="AB31" s="73" t="s">
        <v>257</v>
      </c>
      <c r="AC31" s="73" t="s">
        <v>258</v>
      </c>
      <c r="AD31" s="73" t="s">
        <v>382</v>
      </c>
      <c r="AE31" s="73" t="s">
        <v>245</v>
      </c>
      <c r="AF31" s="73" t="s">
        <v>259</v>
      </c>
      <c r="AG31" s="73" t="s">
        <v>256</v>
      </c>
      <c r="AH31" s="73" t="s">
        <v>256</v>
      </c>
      <c r="AI31" s="73" t="s">
        <v>256</v>
      </c>
      <c r="AJ31" s="73" t="s">
        <v>256</v>
      </c>
      <c r="AK31" s="69" t="s">
        <v>708</v>
      </c>
      <c r="AL31" s="69" t="s">
        <v>709</v>
      </c>
      <c r="AM31" s="73" t="s">
        <v>256</v>
      </c>
      <c r="AN31" s="73">
        <v>8</v>
      </c>
      <c r="AO31" s="73">
        <v>8</v>
      </c>
      <c r="AP31" s="73" t="s">
        <v>256</v>
      </c>
      <c r="AQ31" s="73" t="s">
        <v>256</v>
      </c>
      <c r="AR31" s="73" t="s">
        <v>262</v>
      </c>
      <c r="AS31" s="73" t="s">
        <v>263</v>
      </c>
      <c r="AT31" s="73" t="s">
        <v>263</v>
      </c>
      <c r="AU31" s="73" t="s">
        <v>275</v>
      </c>
      <c r="AV31" s="73" t="s">
        <v>256</v>
      </c>
      <c r="AW31" s="73" t="s">
        <v>264</v>
      </c>
      <c r="AX31" s="44" t="s">
        <v>707</v>
      </c>
      <c r="AY31" s="69">
        <v>83012751</v>
      </c>
      <c r="AZ31" s="69" t="s">
        <v>710</v>
      </c>
      <c r="BA31" s="70" t="s">
        <v>709</v>
      </c>
      <c r="BB31" s="73" t="s">
        <v>256</v>
      </c>
      <c r="BC31" s="73">
        <v>7</v>
      </c>
      <c r="BD31" s="73">
        <v>7</v>
      </c>
      <c r="BE31" s="73" t="s">
        <v>256</v>
      </c>
      <c r="BF31" s="73" t="s">
        <v>256</v>
      </c>
      <c r="BG31" s="73" t="s">
        <v>391</v>
      </c>
      <c r="BH31" s="73" t="s">
        <v>263</v>
      </c>
      <c r="BI31" s="73" t="s">
        <v>263</v>
      </c>
      <c r="BJ31" s="73" t="s">
        <v>275</v>
      </c>
      <c r="BK31" s="73" t="s">
        <v>256</v>
      </c>
      <c r="BL31" s="70" t="s">
        <v>264</v>
      </c>
      <c r="BM31" s="44" t="s">
        <v>711</v>
      </c>
      <c r="BN31" s="69">
        <v>89535887</v>
      </c>
      <c r="BO31" s="70" t="s">
        <v>245</v>
      </c>
      <c r="BP31" s="70" t="s">
        <v>245</v>
      </c>
      <c r="BQ31" s="73" t="s">
        <v>245</v>
      </c>
      <c r="BR31" s="73" t="s">
        <v>245</v>
      </c>
      <c r="BS31" s="73" t="s">
        <v>245</v>
      </c>
      <c r="BT31" s="73" t="s">
        <v>245</v>
      </c>
      <c r="BU31" s="73" t="s">
        <v>245</v>
      </c>
      <c r="BV31" s="73" t="s">
        <v>245</v>
      </c>
      <c r="BW31" s="73" t="s">
        <v>245</v>
      </c>
      <c r="BX31" s="73" t="s">
        <v>245</v>
      </c>
      <c r="BY31" s="73" t="s">
        <v>245</v>
      </c>
      <c r="BZ31" s="73" t="s">
        <v>245</v>
      </c>
      <c r="CA31" s="70" t="s">
        <v>245</v>
      </c>
      <c r="CB31" s="70" t="s">
        <v>245</v>
      </c>
      <c r="CC31" s="73" t="s">
        <v>245</v>
      </c>
      <c r="CD31" s="70" t="s">
        <v>245</v>
      </c>
      <c r="CE31" s="70" t="s">
        <v>245</v>
      </c>
      <c r="CF31" s="73" t="s">
        <v>245</v>
      </c>
      <c r="CG31" s="73" t="s">
        <v>245</v>
      </c>
      <c r="CH31" s="73" t="s">
        <v>245</v>
      </c>
      <c r="CI31" s="73" t="s">
        <v>245</v>
      </c>
      <c r="CJ31" s="73" t="s">
        <v>245</v>
      </c>
      <c r="CK31" s="73" t="s">
        <v>245</v>
      </c>
      <c r="CL31" s="73" t="s">
        <v>245</v>
      </c>
      <c r="CM31" s="73" t="s">
        <v>245</v>
      </c>
      <c r="CN31" s="73" t="s">
        <v>245</v>
      </c>
      <c r="CO31" s="73" t="s">
        <v>245</v>
      </c>
      <c r="CP31" s="73" t="s">
        <v>245</v>
      </c>
      <c r="CQ31" s="69" t="s">
        <v>245</v>
      </c>
      <c r="CR31" s="73" t="s">
        <v>245</v>
      </c>
      <c r="CS31" s="69" t="s">
        <v>245</v>
      </c>
      <c r="CT31" s="70" t="s">
        <v>245</v>
      </c>
      <c r="CU31" s="73" t="s">
        <v>245</v>
      </c>
      <c r="CV31" s="73" t="s">
        <v>245</v>
      </c>
      <c r="CW31" s="73" t="s">
        <v>245</v>
      </c>
      <c r="CX31" s="73" t="s">
        <v>245</v>
      </c>
      <c r="CY31" s="73" t="s">
        <v>245</v>
      </c>
      <c r="CZ31" s="73" t="s">
        <v>245</v>
      </c>
      <c r="DA31" s="73" t="s">
        <v>245</v>
      </c>
      <c r="DB31" s="73" t="s">
        <v>245</v>
      </c>
      <c r="DC31" s="73" t="s">
        <v>245</v>
      </c>
      <c r="DD31" s="73" t="s">
        <v>245</v>
      </c>
      <c r="DE31" s="73" t="s">
        <v>245</v>
      </c>
      <c r="DF31" s="70" t="s">
        <v>245</v>
      </c>
      <c r="DG31" s="73" t="s">
        <v>245</v>
      </c>
      <c r="DH31" s="70" t="s">
        <v>245</v>
      </c>
      <c r="DI31" s="70" t="s">
        <v>245</v>
      </c>
      <c r="DJ31" s="73" t="s">
        <v>245</v>
      </c>
      <c r="DK31" s="73" t="s">
        <v>245</v>
      </c>
      <c r="DL31" s="73" t="s">
        <v>245</v>
      </c>
      <c r="DM31" s="73" t="s">
        <v>245</v>
      </c>
      <c r="DN31" s="73" t="s">
        <v>245</v>
      </c>
      <c r="DO31" s="73" t="s">
        <v>245</v>
      </c>
      <c r="DP31" s="73" t="s">
        <v>245</v>
      </c>
      <c r="DQ31" s="73" t="s">
        <v>245</v>
      </c>
      <c r="DR31" s="73" t="s">
        <v>245</v>
      </c>
      <c r="DS31" s="73" t="s">
        <v>245</v>
      </c>
      <c r="DT31" s="70" t="s">
        <v>245</v>
      </c>
      <c r="DU31" s="70" t="s">
        <v>245</v>
      </c>
      <c r="DV31" s="73" t="s">
        <v>245</v>
      </c>
      <c r="DW31" s="70" t="s">
        <v>245</v>
      </c>
      <c r="DX31" s="70" t="s">
        <v>245</v>
      </c>
      <c r="DY31" s="73" t="s">
        <v>245</v>
      </c>
      <c r="DZ31" s="73" t="s">
        <v>245</v>
      </c>
      <c r="EA31" s="73" t="s">
        <v>245</v>
      </c>
      <c r="EB31" s="73" t="s">
        <v>245</v>
      </c>
      <c r="EC31" s="73" t="s">
        <v>245</v>
      </c>
      <c r="ED31" s="73" t="s">
        <v>245</v>
      </c>
      <c r="EE31" s="73" t="s">
        <v>245</v>
      </c>
      <c r="EF31" s="73" t="s">
        <v>245</v>
      </c>
      <c r="EG31" s="73" t="s">
        <v>245</v>
      </c>
      <c r="EH31" s="73" t="s">
        <v>245</v>
      </c>
      <c r="EI31" s="69" t="s">
        <v>245</v>
      </c>
      <c r="EJ31" s="70" t="s">
        <v>245</v>
      </c>
      <c r="EK31" s="70" t="s">
        <v>245</v>
      </c>
      <c r="EL31" s="70" t="s">
        <v>245</v>
      </c>
      <c r="EM31" s="70" t="s">
        <v>245</v>
      </c>
      <c r="EN31" s="73" t="s">
        <v>245</v>
      </c>
      <c r="EO31" s="73" t="s">
        <v>245</v>
      </c>
      <c r="EP31" s="73" t="s">
        <v>245</v>
      </c>
      <c r="EQ31" s="73" t="s">
        <v>245</v>
      </c>
      <c r="ER31" s="73" t="s">
        <v>245</v>
      </c>
      <c r="ES31" s="73" t="s">
        <v>245</v>
      </c>
      <c r="ET31" s="73" t="s">
        <v>245</v>
      </c>
      <c r="EU31" s="73" t="s">
        <v>245</v>
      </c>
      <c r="EV31" s="73" t="s">
        <v>245</v>
      </c>
      <c r="EW31" s="73" t="s">
        <v>245</v>
      </c>
      <c r="EX31" s="73" t="s">
        <v>245</v>
      </c>
      <c r="EY31" s="70" t="s">
        <v>245</v>
      </c>
      <c r="EZ31" s="73" t="s">
        <v>245</v>
      </c>
      <c r="FA31" s="70" t="s">
        <v>712</v>
      </c>
      <c r="FB31" s="70" t="s">
        <v>277</v>
      </c>
      <c r="FC31" s="73">
        <v>2021</v>
      </c>
      <c r="FD31" s="73" t="s">
        <v>333</v>
      </c>
      <c r="FE31" s="73" t="s">
        <v>713</v>
      </c>
      <c r="FF31" s="73" t="s">
        <v>275</v>
      </c>
      <c r="FG31" s="73" t="s">
        <v>275</v>
      </c>
      <c r="FH31" s="73" t="s">
        <v>275</v>
      </c>
      <c r="FI31" s="73" t="s">
        <v>275</v>
      </c>
      <c r="FJ31" s="70" t="s">
        <v>275</v>
      </c>
      <c r="FK31" s="70" t="s">
        <v>714</v>
      </c>
      <c r="FL31" s="70" t="s">
        <v>277</v>
      </c>
      <c r="FM31" s="70">
        <v>2018</v>
      </c>
      <c r="FN31" s="70" t="s">
        <v>333</v>
      </c>
      <c r="FO31" s="70" t="s">
        <v>715</v>
      </c>
      <c r="FP31" s="70" t="s">
        <v>275</v>
      </c>
      <c r="FQ31" s="70" t="s">
        <v>275</v>
      </c>
      <c r="FR31" s="70" t="s">
        <v>275</v>
      </c>
      <c r="FS31" s="70" t="s">
        <v>275</v>
      </c>
      <c r="FT31" s="70" t="s">
        <v>475</v>
      </c>
      <c r="FU31" s="70" t="s">
        <v>245</v>
      </c>
      <c r="FV31" s="70" t="s">
        <v>245</v>
      </c>
      <c r="FW31" s="70" t="s">
        <v>245</v>
      </c>
      <c r="FX31" s="70" t="s">
        <v>245</v>
      </c>
      <c r="FY31" s="70" t="s">
        <v>245</v>
      </c>
      <c r="FZ31" s="70" t="s">
        <v>245</v>
      </c>
      <c r="GA31" s="70" t="s">
        <v>245</v>
      </c>
      <c r="GB31" s="70" t="s">
        <v>245</v>
      </c>
      <c r="GC31" s="70" t="s">
        <v>245</v>
      </c>
      <c r="GD31" s="70" t="s">
        <v>245</v>
      </c>
      <c r="GE31" s="70" t="s">
        <v>245</v>
      </c>
      <c r="GF31" s="70" t="s">
        <v>245</v>
      </c>
      <c r="GG31" s="70" t="s">
        <v>245</v>
      </c>
      <c r="GH31" s="70" t="s">
        <v>245</v>
      </c>
      <c r="GI31" s="70" t="s">
        <v>245</v>
      </c>
      <c r="GJ31" s="70" t="s">
        <v>245</v>
      </c>
      <c r="GK31" s="70" t="s">
        <v>245</v>
      </c>
      <c r="GL31" s="70" t="s">
        <v>716</v>
      </c>
      <c r="GM31" s="70" t="s">
        <v>245</v>
      </c>
      <c r="GN31" s="70" t="s">
        <v>245</v>
      </c>
      <c r="GO31" s="70" t="s">
        <v>245</v>
      </c>
      <c r="GP31" s="70" t="s">
        <v>245</v>
      </c>
      <c r="GQ31" s="70" t="s">
        <v>245</v>
      </c>
      <c r="GR31" s="70" t="s">
        <v>245</v>
      </c>
      <c r="GS31" s="70" t="s">
        <v>245</v>
      </c>
      <c r="GT31" s="70" t="s">
        <v>245</v>
      </c>
      <c r="GU31" s="70" t="s">
        <v>245</v>
      </c>
      <c r="GV31" s="70" t="s">
        <v>245</v>
      </c>
      <c r="GW31" s="70" t="s">
        <v>245</v>
      </c>
      <c r="GX31" s="70" t="s">
        <v>245</v>
      </c>
      <c r="GY31" s="70" t="s">
        <v>245</v>
      </c>
      <c r="GZ31" s="70" t="s">
        <v>245</v>
      </c>
      <c r="HA31" s="70" t="s">
        <v>245</v>
      </c>
      <c r="HB31" s="70" t="s">
        <v>245</v>
      </c>
      <c r="HC31" s="70" t="s">
        <v>245</v>
      </c>
      <c r="HD31" s="70" t="s">
        <v>245</v>
      </c>
      <c r="HE31" s="70" t="s">
        <v>275</v>
      </c>
      <c r="HF31" s="70" t="s">
        <v>245</v>
      </c>
      <c r="HG31" s="70" t="s">
        <v>245</v>
      </c>
      <c r="HH31" s="70" t="s">
        <v>245</v>
      </c>
      <c r="HI31" s="70" t="s">
        <v>245</v>
      </c>
      <c r="HJ31" s="70" t="s">
        <v>245</v>
      </c>
      <c r="HK31" s="70" t="s">
        <v>245</v>
      </c>
      <c r="HL31" s="70" t="s">
        <v>245</v>
      </c>
      <c r="HM31" s="70" t="s">
        <v>245</v>
      </c>
      <c r="HN31" s="70" t="s">
        <v>245</v>
      </c>
      <c r="HO31" s="70" t="s">
        <v>245</v>
      </c>
      <c r="HP31" s="70" t="s">
        <v>245</v>
      </c>
      <c r="HQ31" s="70" t="s">
        <v>245</v>
      </c>
      <c r="HR31" s="70" t="s">
        <v>245</v>
      </c>
      <c r="HS31" s="70" t="s">
        <v>245</v>
      </c>
      <c r="HT31" s="70" t="s">
        <v>245</v>
      </c>
      <c r="HU31" s="70" t="s">
        <v>245</v>
      </c>
      <c r="HV31" s="70" t="s">
        <v>245</v>
      </c>
      <c r="HW31" s="70" t="s">
        <v>245</v>
      </c>
      <c r="HX31" s="70" t="s">
        <v>245</v>
      </c>
      <c r="HY31" s="70" t="s">
        <v>245</v>
      </c>
      <c r="HZ31" s="70" t="s">
        <v>245</v>
      </c>
      <c r="IA31" s="70" t="s">
        <v>245</v>
      </c>
      <c r="IB31" s="70" t="s">
        <v>245</v>
      </c>
      <c r="IC31" s="70">
        <f>AVERAGE(Tabla1[[#This Row],[Año 5]],Tabla1[[#This Row],[Año 4]],Tabla1[[#This Row],[Año 3]],Tabla1[[#This Row],[Año 2]],Tabla1[[#This Row],[Año]])</f>
        <v>2019.5</v>
      </c>
    </row>
    <row r="32" spans="2:237" s="1" customFormat="1" ht="14" x14ac:dyDescent="0.3">
      <c r="B32" s="68">
        <v>18</v>
      </c>
      <c r="C32" s="1" t="s">
        <v>717</v>
      </c>
      <c r="D32" s="69" t="s">
        <v>245</v>
      </c>
      <c r="E32" s="69" t="s">
        <v>246</v>
      </c>
      <c r="F32" s="13" t="s">
        <v>718</v>
      </c>
      <c r="G32" s="69" t="s">
        <v>719</v>
      </c>
      <c r="H32" s="70" t="s">
        <v>245</v>
      </c>
      <c r="I32" s="70" t="s">
        <v>245</v>
      </c>
      <c r="J32" s="70" t="s">
        <v>245</v>
      </c>
      <c r="K32" s="70" t="s">
        <v>245</v>
      </c>
      <c r="L32" s="70" t="s">
        <v>245</v>
      </c>
      <c r="M32" s="70" t="s">
        <v>245</v>
      </c>
      <c r="N32" s="70" t="s">
        <v>720</v>
      </c>
      <c r="O32" s="70" t="s">
        <v>245</v>
      </c>
      <c r="P32" s="70" t="s">
        <v>245</v>
      </c>
      <c r="Q32" s="70" t="s">
        <v>245</v>
      </c>
      <c r="R32" s="70" t="s">
        <v>245</v>
      </c>
      <c r="S32" s="70" t="s">
        <v>245</v>
      </c>
      <c r="T32" s="70" t="s">
        <v>251</v>
      </c>
      <c r="U32" s="70" t="s">
        <v>721</v>
      </c>
      <c r="V32" s="70" t="s">
        <v>722</v>
      </c>
      <c r="W32" s="73" t="s">
        <v>723</v>
      </c>
      <c r="X32" s="96" t="s">
        <v>724</v>
      </c>
      <c r="Y32" s="50" t="s">
        <v>725</v>
      </c>
      <c r="Z32" s="73" t="s">
        <v>256</v>
      </c>
      <c r="AA32" s="73" t="s">
        <v>256</v>
      </c>
      <c r="AB32" s="73" t="s">
        <v>258</v>
      </c>
      <c r="AC32" s="73" t="s">
        <v>258</v>
      </c>
      <c r="AD32" s="73" t="s">
        <v>258</v>
      </c>
      <c r="AE32" s="73" t="s">
        <v>245</v>
      </c>
      <c r="AF32" s="73" t="s">
        <v>256</v>
      </c>
      <c r="AG32" s="73" t="s">
        <v>256</v>
      </c>
      <c r="AH32" s="73" t="s">
        <v>256</v>
      </c>
      <c r="AI32" s="73" t="s">
        <v>256</v>
      </c>
      <c r="AJ32" s="73" t="s">
        <v>256</v>
      </c>
      <c r="AK32" s="69" t="s">
        <v>726</v>
      </c>
      <c r="AL32" s="69" t="s">
        <v>727</v>
      </c>
      <c r="AM32" s="73" t="s">
        <v>256</v>
      </c>
      <c r="AN32" s="73" t="s">
        <v>540</v>
      </c>
      <c r="AO32" s="73" t="s">
        <v>547</v>
      </c>
      <c r="AP32" s="73" t="s">
        <v>256</v>
      </c>
      <c r="AQ32" s="73" t="s">
        <v>256</v>
      </c>
      <c r="AR32" s="73" t="s">
        <v>262</v>
      </c>
      <c r="AS32" s="73" t="s">
        <v>263</v>
      </c>
      <c r="AT32" s="73" t="s">
        <v>263</v>
      </c>
      <c r="AU32" s="73" t="s">
        <v>263</v>
      </c>
      <c r="AV32" s="73" t="s">
        <v>256</v>
      </c>
      <c r="AW32" s="73" t="s">
        <v>264</v>
      </c>
      <c r="AX32" s="49" t="s">
        <v>728</v>
      </c>
      <c r="AY32" s="69">
        <v>85556366</v>
      </c>
      <c r="AZ32" s="69" t="s">
        <v>729</v>
      </c>
      <c r="BA32" s="70" t="s">
        <v>727</v>
      </c>
      <c r="BB32" s="73" t="s">
        <v>256</v>
      </c>
      <c r="BC32" s="73" t="s">
        <v>450</v>
      </c>
      <c r="BD32" s="73" t="s">
        <v>730</v>
      </c>
      <c r="BE32" s="73" t="s">
        <v>256</v>
      </c>
      <c r="BF32" s="73" t="s">
        <v>256</v>
      </c>
      <c r="BG32" s="73" t="s">
        <v>262</v>
      </c>
      <c r="BH32" s="73" t="s">
        <v>263</v>
      </c>
      <c r="BI32" s="73" t="s">
        <v>263</v>
      </c>
      <c r="BJ32" s="73" t="s">
        <v>263</v>
      </c>
      <c r="BK32" s="73" t="s">
        <v>256</v>
      </c>
      <c r="BL32" s="70" t="s">
        <v>264</v>
      </c>
      <c r="BM32" s="49" t="s">
        <v>731</v>
      </c>
      <c r="BN32" s="69">
        <v>86279197</v>
      </c>
      <c r="BO32" s="70" t="s">
        <v>732</v>
      </c>
      <c r="BP32" s="70" t="s">
        <v>727</v>
      </c>
      <c r="BQ32" s="73" t="s">
        <v>256</v>
      </c>
      <c r="BR32" s="73" t="s">
        <v>354</v>
      </c>
      <c r="BS32" s="73" t="s">
        <v>609</v>
      </c>
      <c r="BT32" s="73" t="s">
        <v>256</v>
      </c>
      <c r="BU32" s="73" t="s">
        <v>256</v>
      </c>
      <c r="BV32" s="73" t="s">
        <v>267</v>
      </c>
      <c r="BW32" s="73" t="s">
        <v>263</v>
      </c>
      <c r="BX32" s="73" t="s">
        <v>263</v>
      </c>
      <c r="BY32" s="73" t="s">
        <v>275</v>
      </c>
      <c r="BZ32" s="73" t="s">
        <v>275</v>
      </c>
      <c r="CA32" s="70" t="s">
        <v>264</v>
      </c>
      <c r="CB32" s="51" t="s">
        <v>733</v>
      </c>
      <c r="CC32" s="73">
        <v>60401323</v>
      </c>
      <c r="CD32" s="70" t="s">
        <v>734</v>
      </c>
      <c r="CE32" s="70" t="s">
        <v>727</v>
      </c>
      <c r="CF32" s="73" t="s">
        <v>256</v>
      </c>
      <c r="CG32" s="73" t="s">
        <v>735</v>
      </c>
      <c r="CH32" s="73" t="s">
        <v>415</v>
      </c>
      <c r="CI32" s="73" t="s">
        <v>256</v>
      </c>
      <c r="CJ32" s="73" t="s">
        <v>256</v>
      </c>
      <c r="CK32" s="73" t="s">
        <v>262</v>
      </c>
      <c r="CL32" s="73" t="s">
        <v>263</v>
      </c>
      <c r="CM32" s="73" t="s">
        <v>263</v>
      </c>
      <c r="CN32" s="73" t="s">
        <v>263</v>
      </c>
      <c r="CO32" s="73" t="s">
        <v>256</v>
      </c>
      <c r="CP32" s="73" t="s">
        <v>264</v>
      </c>
      <c r="CQ32" s="49" t="s">
        <v>736</v>
      </c>
      <c r="CR32" s="73">
        <v>71748180</v>
      </c>
      <c r="CS32" s="69" t="s">
        <v>245</v>
      </c>
      <c r="CT32" s="70" t="s">
        <v>245</v>
      </c>
      <c r="CU32" s="73" t="s">
        <v>245</v>
      </c>
      <c r="CV32" s="73" t="s">
        <v>245</v>
      </c>
      <c r="CW32" s="73" t="s">
        <v>245</v>
      </c>
      <c r="CX32" s="73" t="s">
        <v>245</v>
      </c>
      <c r="CY32" s="73" t="s">
        <v>245</v>
      </c>
      <c r="CZ32" s="73" t="s">
        <v>245</v>
      </c>
      <c r="DA32" s="73" t="s">
        <v>245</v>
      </c>
      <c r="DB32" s="73" t="s">
        <v>245</v>
      </c>
      <c r="DC32" s="73" t="s">
        <v>245</v>
      </c>
      <c r="DD32" s="73" t="s">
        <v>245</v>
      </c>
      <c r="DE32" s="73" t="s">
        <v>245</v>
      </c>
      <c r="DF32" s="70" t="s">
        <v>245</v>
      </c>
      <c r="DG32" s="73" t="s">
        <v>245</v>
      </c>
      <c r="DH32" s="70" t="s">
        <v>245</v>
      </c>
      <c r="DI32" s="70" t="s">
        <v>245</v>
      </c>
      <c r="DJ32" s="73" t="s">
        <v>245</v>
      </c>
      <c r="DK32" s="73" t="s">
        <v>245</v>
      </c>
      <c r="DL32" s="73" t="s">
        <v>245</v>
      </c>
      <c r="DM32" s="73" t="s">
        <v>245</v>
      </c>
      <c r="DN32" s="73" t="s">
        <v>245</v>
      </c>
      <c r="DO32" s="73" t="s">
        <v>245</v>
      </c>
      <c r="DP32" s="73" t="s">
        <v>245</v>
      </c>
      <c r="DQ32" s="73" t="s">
        <v>245</v>
      </c>
      <c r="DR32" s="73" t="s">
        <v>245</v>
      </c>
      <c r="DS32" s="73" t="s">
        <v>245</v>
      </c>
      <c r="DT32" s="70" t="s">
        <v>245</v>
      </c>
      <c r="DU32" s="70" t="s">
        <v>245</v>
      </c>
      <c r="DV32" s="73" t="s">
        <v>245</v>
      </c>
      <c r="DW32" s="70" t="s">
        <v>245</v>
      </c>
      <c r="DX32" s="70" t="s">
        <v>245</v>
      </c>
      <c r="DY32" s="73" t="s">
        <v>245</v>
      </c>
      <c r="DZ32" s="73" t="s">
        <v>245</v>
      </c>
      <c r="EA32" s="73" t="s">
        <v>245</v>
      </c>
      <c r="EB32" s="73" t="s">
        <v>245</v>
      </c>
      <c r="EC32" s="73" t="s">
        <v>245</v>
      </c>
      <c r="ED32" s="73" t="s">
        <v>245</v>
      </c>
      <c r="EE32" s="73" t="s">
        <v>245</v>
      </c>
      <c r="EF32" s="73" t="s">
        <v>245</v>
      </c>
      <c r="EG32" s="73" t="s">
        <v>245</v>
      </c>
      <c r="EH32" s="73" t="s">
        <v>245</v>
      </c>
      <c r="EI32" s="69" t="s">
        <v>245</v>
      </c>
      <c r="EJ32" s="70" t="s">
        <v>245</v>
      </c>
      <c r="EK32" s="70" t="s">
        <v>245</v>
      </c>
      <c r="EL32" s="70" t="s">
        <v>245</v>
      </c>
      <c r="EM32" s="70" t="s">
        <v>245</v>
      </c>
      <c r="EN32" s="73" t="s">
        <v>245</v>
      </c>
      <c r="EO32" s="73" t="s">
        <v>245</v>
      </c>
      <c r="EP32" s="73" t="s">
        <v>245</v>
      </c>
      <c r="EQ32" s="73" t="s">
        <v>245</v>
      </c>
      <c r="ER32" s="73" t="s">
        <v>245</v>
      </c>
      <c r="ES32" s="73" t="s">
        <v>245</v>
      </c>
      <c r="ET32" s="73" t="s">
        <v>245</v>
      </c>
      <c r="EU32" s="73" t="s">
        <v>245</v>
      </c>
      <c r="EV32" s="73" t="s">
        <v>245</v>
      </c>
      <c r="EW32" s="73" t="s">
        <v>245</v>
      </c>
      <c r="EX32" s="73" t="s">
        <v>245</v>
      </c>
      <c r="EY32" s="70" t="s">
        <v>245</v>
      </c>
      <c r="EZ32" s="73" t="s">
        <v>245</v>
      </c>
      <c r="FA32" s="70" t="s">
        <v>737</v>
      </c>
      <c r="FB32" s="70" t="s">
        <v>277</v>
      </c>
      <c r="FC32" s="73">
        <v>2017</v>
      </c>
      <c r="FD32" s="73" t="s">
        <v>333</v>
      </c>
      <c r="FE32" s="73" t="s">
        <v>562</v>
      </c>
      <c r="FF32" s="73" t="s">
        <v>275</v>
      </c>
      <c r="FG32" s="73" t="s">
        <v>275</v>
      </c>
      <c r="FH32" s="73" t="s">
        <v>275</v>
      </c>
      <c r="FI32" s="73" t="s">
        <v>275</v>
      </c>
      <c r="FJ32" s="70" t="s">
        <v>475</v>
      </c>
      <c r="FK32" s="70" t="s">
        <v>738</v>
      </c>
      <c r="FL32" s="70" t="s">
        <v>277</v>
      </c>
      <c r="FM32" s="70">
        <v>2021</v>
      </c>
      <c r="FN32" s="70" t="s">
        <v>296</v>
      </c>
      <c r="FO32" s="70" t="s">
        <v>739</v>
      </c>
      <c r="FP32" s="70" t="s">
        <v>275</v>
      </c>
      <c r="FQ32" s="70" t="s">
        <v>275</v>
      </c>
      <c r="FR32" s="70" t="s">
        <v>275</v>
      </c>
      <c r="FS32" s="70" t="s">
        <v>275</v>
      </c>
      <c r="FT32" s="70" t="s">
        <v>475</v>
      </c>
      <c r="FU32" s="70" t="s">
        <v>740</v>
      </c>
      <c r="FV32" s="70" t="s">
        <v>277</v>
      </c>
      <c r="FW32" s="70">
        <v>2018</v>
      </c>
      <c r="FX32" s="70" t="s">
        <v>333</v>
      </c>
      <c r="FY32" s="70" t="s">
        <v>741</v>
      </c>
      <c r="FZ32" s="70" t="s">
        <v>275</v>
      </c>
      <c r="GA32" s="70" t="s">
        <v>245</v>
      </c>
      <c r="GB32" s="70" t="s">
        <v>275</v>
      </c>
      <c r="GC32" s="70" t="s">
        <v>275</v>
      </c>
      <c r="GD32" s="70" t="s">
        <v>275</v>
      </c>
      <c r="GE32" s="70" t="s">
        <v>742</v>
      </c>
      <c r="GF32" s="70" t="s">
        <v>277</v>
      </c>
      <c r="GG32" s="70">
        <v>2017</v>
      </c>
      <c r="GH32" s="70" t="s">
        <v>333</v>
      </c>
      <c r="GI32" s="70" t="s">
        <v>562</v>
      </c>
      <c r="GJ32" s="70" t="s">
        <v>275</v>
      </c>
      <c r="GK32" s="70" t="s">
        <v>275</v>
      </c>
      <c r="GL32" s="70" t="s">
        <v>275</v>
      </c>
      <c r="GM32" s="70" t="s">
        <v>275</v>
      </c>
      <c r="GN32" s="70" t="s">
        <v>275</v>
      </c>
      <c r="GO32" s="70" t="s">
        <v>245</v>
      </c>
      <c r="GP32" s="70" t="s">
        <v>245</v>
      </c>
      <c r="GQ32" s="70" t="s">
        <v>245</v>
      </c>
      <c r="GR32" s="70" t="s">
        <v>245</v>
      </c>
      <c r="GS32" s="70" t="s">
        <v>245</v>
      </c>
      <c r="GT32" s="70" t="s">
        <v>245</v>
      </c>
      <c r="GU32" s="70" t="s">
        <v>245</v>
      </c>
      <c r="GV32" s="70" t="s">
        <v>245</v>
      </c>
      <c r="GW32" s="70" t="s">
        <v>245</v>
      </c>
      <c r="GX32" s="70" t="s">
        <v>245</v>
      </c>
      <c r="GY32" s="70" t="s">
        <v>245</v>
      </c>
      <c r="GZ32" s="70" t="s">
        <v>245</v>
      </c>
      <c r="HA32" s="70" t="s">
        <v>245</v>
      </c>
      <c r="HB32" s="70" t="s">
        <v>245</v>
      </c>
      <c r="HC32" s="70" t="s">
        <v>245</v>
      </c>
      <c r="HD32" s="70" t="s">
        <v>245</v>
      </c>
      <c r="HE32" s="70" t="s">
        <v>245</v>
      </c>
      <c r="HF32" s="70" t="s">
        <v>245</v>
      </c>
      <c r="HG32" s="70" t="s">
        <v>245</v>
      </c>
      <c r="HH32" s="70" t="s">
        <v>245</v>
      </c>
      <c r="HI32" s="70" t="s">
        <v>245</v>
      </c>
      <c r="HJ32" s="70" t="s">
        <v>245</v>
      </c>
      <c r="HK32" s="70" t="s">
        <v>245</v>
      </c>
      <c r="HL32" s="70" t="s">
        <v>245</v>
      </c>
      <c r="HM32" s="70" t="s">
        <v>245</v>
      </c>
      <c r="HN32" s="70" t="s">
        <v>245</v>
      </c>
      <c r="HO32" s="70" t="s">
        <v>245</v>
      </c>
      <c r="HP32" s="70" t="s">
        <v>245</v>
      </c>
      <c r="HQ32" s="70" t="s">
        <v>245</v>
      </c>
      <c r="HR32" s="70" t="s">
        <v>245</v>
      </c>
      <c r="HS32" s="70" t="s">
        <v>245</v>
      </c>
      <c r="HT32" s="70" t="s">
        <v>245</v>
      </c>
      <c r="HU32" s="70" t="s">
        <v>245</v>
      </c>
      <c r="HV32" s="70" t="s">
        <v>245</v>
      </c>
      <c r="HW32" s="70" t="s">
        <v>245</v>
      </c>
      <c r="HX32" s="70" t="s">
        <v>245</v>
      </c>
      <c r="HY32" s="70" t="s">
        <v>245</v>
      </c>
      <c r="HZ32" s="70" t="s">
        <v>245</v>
      </c>
      <c r="IA32" s="70" t="s">
        <v>245</v>
      </c>
      <c r="IB32" s="70" t="s">
        <v>245</v>
      </c>
      <c r="IC32" s="70">
        <f>AVERAGE(Tabla1[[#This Row],[Año 5]],Tabla1[[#This Row],[Año 4]],Tabla1[[#This Row],[Año 3]],Tabla1[[#This Row],[Año 2]],Tabla1[[#This Row],[Año]])</f>
        <v>2018.25</v>
      </c>
    </row>
    <row r="33" spans="2:237" s="1" customFormat="1" ht="28" x14ac:dyDescent="0.3">
      <c r="B33" s="68">
        <v>19</v>
      </c>
      <c r="C33" s="1" t="s">
        <v>743</v>
      </c>
      <c r="D33" s="69" t="s">
        <v>245</v>
      </c>
      <c r="E33" s="69" t="s">
        <v>246</v>
      </c>
      <c r="F33" s="13" t="s">
        <v>744</v>
      </c>
      <c r="G33" s="69" t="s">
        <v>745</v>
      </c>
      <c r="H33" s="70" t="s">
        <v>245</v>
      </c>
      <c r="I33" s="70" t="s">
        <v>245</v>
      </c>
      <c r="J33" s="70" t="s">
        <v>245</v>
      </c>
      <c r="K33" s="70" t="s">
        <v>245</v>
      </c>
      <c r="L33" s="70" t="s">
        <v>245</v>
      </c>
      <c r="M33" s="70" t="s">
        <v>245</v>
      </c>
      <c r="N33" s="70" t="s">
        <v>746</v>
      </c>
      <c r="O33" s="70" t="s">
        <v>245</v>
      </c>
      <c r="P33" s="70" t="s">
        <v>245</v>
      </c>
      <c r="Q33" s="70" t="s">
        <v>245</v>
      </c>
      <c r="R33" s="70" t="s">
        <v>245</v>
      </c>
      <c r="S33" s="70" t="s">
        <v>245</v>
      </c>
      <c r="T33" s="70" t="s">
        <v>747</v>
      </c>
      <c r="U33" s="86" t="s">
        <v>748</v>
      </c>
      <c r="V33" s="97" t="s">
        <v>749</v>
      </c>
      <c r="W33" s="73" t="s">
        <v>743</v>
      </c>
      <c r="X33" s="73">
        <v>87581365</v>
      </c>
      <c r="Y33" s="44" t="s">
        <v>750</v>
      </c>
      <c r="Z33" s="73" t="s">
        <v>256</v>
      </c>
      <c r="AA33" s="73" t="s">
        <v>256</v>
      </c>
      <c r="AB33" s="73" t="s">
        <v>258</v>
      </c>
      <c r="AC33" s="73" t="s">
        <v>258</v>
      </c>
      <c r="AD33" s="73" t="s">
        <v>258</v>
      </c>
      <c r="AE33" s="73" t="s">
        <v>245</v>
      </c>
      <c r="AF33" s="73" t="s">
        <v>259</v>
      </c>
      <c r="AG33" s="73" t="s">
        <v>256</v>
      </c>
      <c r="AH33" s="73" t="s">
        <v>256</v>
      </c>
      <c r="AI33" s="73" t="s">
        <v>256</v>
      </c>
      <c r="AJ33" s="73" t="s">
        <v>256</v>
      </c>
      <c r="AK33" s="69" t="s">
        <v>751</v>
      </c>
      <c r="AL33" s="69" t="s">
        <v>752</v>
      </c>
      <c r="AM33" s="73" t="s">
        <v>256</v>
      </c>
      <c r="AN33" s="73">
        <v>7</v>
      </c>
      <c r="AO33" s="73">
        <v>7</v>
      </c>
      <c r="AP33" s="73" t="s">
        <v>256</v>
      </c>
      <c r="AQ33" s="73" t="s">
        <v>256</v>
      </c>
      <c r="AR33" s="73" t="s">
        <v>262</v>
      </c>
      <c r="AS33" s="73" t="s">
        <v>263</v>
      </c>
      <c r="AT33" s="73" t="s">
        <v>263</v>
      </c>
      <c r="AU33" s="73" t="s">
        <v>263</v>
      </c>
      <c r="AV33" s="73" t="s">
        <v>256</v>
      </c>
      <c r="AW33" s="73" t="s">
        <v>264</v>
      </c>
      <c r="AX33" s="44" t="s">
        <v>750</v>
      </c>
      <c r="AY33" s="69">
        <v>87581365</v>
      </c>
      <c r="AZ33" s="69" t="s">
        <v>245</v>
      </c>
      <c r="BA33" s="70" t="s">
        <v>245</v>
      </c>
      <c r="BB33" s="73" t="s">
        <v>245</v>
      </c>
      <c r="BC33" s="73" t="s">
        <v>245</v>
      </c>
      <c r="BD33" s="73" t="s">
        <v>245</v>
      </c>
      <c r="BE33" s="73" t="s">
        <v>245</v>
      </c>
      <c r="BF33" s="73" t="s">
        <v>245</v>
      </c>
      <c r="BG33" s="73" t="s">
        <v>245</v>
      </c>
      <c r="BH33" s="73" t="s">
        <v>245</v>
      </c>
      <c r="BI33" s="73" t="s">
        <v>245</v>
      </c>
      <c r="BJ33" s="73" t="s">
        <v>245</v>
      </c>
      <c r="BK33" s="73" t="s">
        <v>245</v>
      </c>
      <c r="BL33" s="70" t="s">
        <v>245</v>
      </c>
      <c r="BM33" s="69" t="s">
        <v>245</v>
      </c>
      <c r="BN33" s="69" t="s">
        <v>245</v>
      </c>
      <c r="BO33" s="70" t="s">
        <v>245</v>
      </c>
      <c r="BP33" s="70" t="s">
        <v>245</v>
      </c>
      <c r="BQ33" s="73" t="s">
        <v>245</v>
      </c>
      <c r="BR33" s="73" t="s">
        <v>245</v>
      </c>
      <c r="BS33" s="73" t="s">
        <v>245</v>
      </c>
      <c r="BT33" s="73" t="s">
        <v>245</v>
      </c>
      <c r="BU33" s="73" t="s">
        <v>245</v>
      </c>
      <c r="BV33" s="73" t="s">
        <v>245</v>
      </c>
      <c r="BW33" s="73" t="s">
        <v>245</v>
      </c>
      <c r="BX33" s="73" t="s">
        <v>245</v>
      </c>
      <c r="BY33" s="73" t="s">
        <v>245</v>
      </c>
      <c r="BZ33" s="73" t="s">
        <v>245</v>
      </c>
      <c r="CA33" s="70" t="s">
        <v>245</v>
      </c>
      <c r="CB33" s="70" t="s">
        <v>245</v>
      </c>
      <c r="CC33" s="73" t="s">
        <v>245</v>
      </c>
      <c r="CD33" s="70" t="s">
        <v>245</v>
      </c>
      <c r="CE33" s="70" t="s">
        <v>245</v>
      </c>
      <c r="CF33" s="73" t="s">
        <v>245</v>
      </c>
      <c r="CG33" s="73" t="s">
        <v>245</v>
      </c>
      <c r="CH33" s="73" t="s">
        <v>245</v>
      </c>
      <c r="CI33" s="73" t="s">
        <v>245</v>
      </c>
      <c r="CJ33" s="73" t="s">
        <v>245</v>
      </c>
      <c r="CK33" s="73" t="s">
        <v>245</v>
      </c>
      <c r="CL33" s="73" t="s">
        <v>245</v>
      </c>
      <c r="CM33" s="73" t="s">
        <v>245</v>
      </c>
      <c r="CN33" s="73" t="s">
        <v>245</v>
      </c>
      <c r="CO33" s="73" t="s">
        <v>245</v>
      </c>
      <c r="CP33" s="73" t="s">
        <v>245</v>
      </c>
      <c r="CQ33" s="69" t="s">
        <v>245</v>
      </c>
      <c r="CR33" s="73" t="s">
        <v>245</v>
      </c>
      <c r="CS33" s="69" t="s">
        <v>245</v>
      </c>
      <c r="CT33" s="70" t="s">
        <v>245</v>
      </c>
      <c r="CU33" s="73" t="s">
        <v>245</v>
      </c>
      <c r="CV33" s="73" t="s">
        <v>245</v>
      </c>
      <c r="CW33" s="73" t="s">
        <v>245</v>
      </c>
      <c r="CX33" s="73" t="s">
        <v>245</v>
      </c>
      <c r="CY33" s="73" t="s">
        <v>245</v>
      </c>
      <c r="CZ33" s="73" t="s">
        <v>245</v>
      </c>
      <c r="DA33" s="73" t="s">
        <v>245</v>
      </c>
      <c r="DB33" s="73" t="s">
        <v>245</v>
      </c>
      <c r="DC33" s="73" t="s">
        <v>245</v>
      </c>
      <c r="DD33" s="73" t="s">
        <v>245</v>
      </c>
      <c r="DE33" s="73" t="s">
        <v>245</v>
      </c>
      <c r="DF33" s="70" t="s">
        <v>245</v>
      </c>
      <c r="DG33" s="73" t="s">
        <v>245</v>
      </c>
      <c r="DH33" s="70" t="s">
        <v>245</v>
      </c>
      <c r="DI33" s="70" t="s">
        <v>245</v>
      </c>
      <c r="DJ33" s="73" t="s">
        <v>245</v>
      </c>
      <c r="DK33" s="73" t="s">
        <v>245</v>
      </c>
      <c r="DL33" s="73" t="s">
        <v>245</v>
      </c>
      <c r="DM33" s="73" t="s">
        <v>245</v>
      </c>
      <c r="DN33" s="73" t="s">
        <v>245</v>
      </c>
      <c r="DO33" s="73" t="s">
        <v>245</v>
      </c>
      <c r="DP33" s="73" t="s">
        <v>245</v>
      </c>
      <c r="DQ33" s="73" t="s">
        <v>245</v>
      </c>
      <c r="DR33" s="73" t="s">
        <v>245</v>
      </c>
      <c r="DS33" s="73" t="s">
        <v>245</v>
      </c>
      <c r="DT33" s="70" t="s">
        <v>245</v>
      </c>
      <c r="DU33" s="70" t="s">
        <v>245</v>
      </c>
      <c r="DV33" s="73" t="s">
        <v>245</v>
      </c>
      <c r="DW33" s="70" t="s">
        <v>245</v>
      </c>
      <c r="DX33" s="70" t="s">
        <v>245</v>
      </c>
      <c r="DY33" s="73" t="s">
        <v>245</v>
      </c>
      <c r="DZ33" s="73" t="s">
        <v>245</v>
      </c>
      <c r="EA33" s="73" t="s">
        <v>245</v>
      </c>
      <c r="EB33" s="73" t="s">
        <v>245</v>
      </c>
      <c r="EC33" s="73" t="s">
        <v>245</v>
      </c>
      <c r="ED33" s="73" t="s">
        <v>245</v>
      </c>
      <c r="EE33" s="73" t="s">
        <v>245</v>
      </c>
      <c r="EF33" s="73" t="s">
        <v>245</v>
      </c>
      <c r="EG33" s="73" t="s">
        <v>245</v>
      </c>
      <c r="EH33" s="73" t="s">
        <v>245</v>
      </c>
      <c r="EI33" s="69" t="s">
        <v>245</v>
      </c>
      <c r="EJ33" s="70" t="s">
        <v>245</v>
      </c>
      <c r="EK33" s="70" t="s">
        <v>245</v>
      </c>
      <c r="EL33" s="70" t="s">
        <v>245</v>
      </c>
      <c r="EM33" s="70" t="s">
        <v>245</v>
      </c>
      <c r="EN33" s="73" t="s">
        <v>245</v>
      </c>
      <c r="EO33" s="73" t="s">
        <v>245</v>
      </c>
      <c r="EP33" s="73" t="s">
        <v>245</v>
      </c>
      <c r="EQ33" s="73" t="s">
        <v>245</v>
      </c>
      <c r="ER33" s="73" t="s">
        <v>245</v>
      </c>
      <c r="ES33" s="73" t="s">
        <v>245</v>
      </c>
      <c r="ET33" s="73" t="s">
        <v>245</v>
      </c>
      <c r="EU33" s="73" t="s">
        <v>245</v>
      </c>
      <c r="EV33" s="73" t="s">
        <v>245</v>
      </c>
      <c r="EW33" s="73" t="s">
        <v>245</v>
      </c>
      <c r="EX33" s="73" t="s">
        <v>245</v>
      </c>
      <c r="EY33" s="70" t="s">
        <v>245</v>
      </c>
      <c r="EZ33" s="73" t="s">
        <v>245</v>
      </c>
      <c r="FA33" s="69">
        <v>645570</v>
      </c>
      <c r="FB33" s="98" t="s">
        <v>399</v>
      </c>
      <c r="FC33" s="73">
        <v>2002</v>
      </c>
      <c r="FD33" s="73" t="s">
        <v>473</v>
      </c>
      <c r="FE33" s="73" t="s">
        <v>753</v>
      </c>
      <c r="FF33" s="73" t="s">
        <v>275</v>
      </c>
      <c r="FG33" s="73" t="s">
        <v>275</v>
      </c>
      <c r="FH33" s="73" t="s">
        <v>275</v>
      </c>
      <c r="FI33" s="73" t="s">
        <v>275</v>
      </c>
      <c r="FJ33" s="70" t="s">
        <v>275</v>
      </c>
      <c r="FK33" s="70" t="s">
        <v>245</v>
      </c>
      <c r="FL33" s="70" t="s">
        <v>245</v>
      </c>
      <c r="FM33" s="70" t="s">
        <v>245</v>
      </c>
      <c r="FN33" s="70" t="s">
        <v>245</v>
      </c>
      <c r="FO33" s="70" t="s">
        <v>245</v>
      </c>
      <c r="FP33" s="70" t="s">
        <v>245</v>
      </c>
      <c r="FQ33" s="70" t="s">
        <v>245</v>
      </c>
      <c r="FR33" s="70" t="s">
        <v>245</v>
      </c>
      <c r="FS33" s="70" t="s">
        <v>245</v>
      </c>
      <c r="FT33" s="70" t="s">
        <v>245</v>
      </c>
      <c r="FU33" s="70" t="s">
        <v>245</v>
      </c>
      <c r="FV33" s="70" t="s">
        <v>245</v>
      </c>
      <c r="FW33" s="70" t="s">
        <v>245</v>
      </c>
      <c r="FX33" s="70" t="s">
        <v>245</v>
      </c>
      <c r="FY33" s="70" t="s">
        <v>245</v>
      </c>
      <c r="FZ33" s="70" t="s">
        <v>245</v>
      </c>
      <c r="GA33" s="70" t="s">
        <v>245</v>
      </c>
      <c r="GB33" s="70" t="s">
        <v>245</v>
      </c>
      <c r="GC33" s="70" t="s">
        <v>245</v>
      </c>
      <c r="GD33" s="70" t="s">
        <v>245</v>
      </c>
      <c r="GE33" s="70" t="s">
        <v>245</v>
      </c>
      <c r="GF33" s="70" t="s">
        <v>245</v>
      </c>
      <c r="GG33" s="70" t="s">
        <v>245</v>
      </c>
      <c r="GH33" s="70" t="s">
        <v>245</v>
      </c>
      <c r="GI33" s="70" t="s">
        <v>245</v>
      </c>
      <c r="GJ33" s="70" t="s">
        <v>245</v>
      </c>
      <c r="GK33" s="70" t="s">
        <v>245</v>
      </c>
      <c r="GL33" s="70" t="s">
        <v>245</v>
      </c>
      <c r="GM33" s="70" t="s">
        <v>245</v>
      </c>
      <c r="GN33" s="70" t="s">
        <v>245</v>
      </c>
      <c r="GO33" s="70" t="s">
        <v>245</v>
      </c>
      <c r="GP33" s="70" t="s">
        <v>245</v>
      </c>
      <c r="GQ33" s="70" t="s">
        <v>245</v>
      </c>
      <c r="GR33" s="70" t="s">
        <v>245</v>
      </c>
      <c r="GS33" s="70" t="s">
        <v>245</v>
      </c>
      <c r="GT33" s="70" t="s">
        <v>245</v>
      </c>
      <c r="GU33" s="70" t="s">
        <v>245</v>
      </c>
      <c r="GV33" s="70" t="s">
        <v>245</v>
      </c>
      <c r="GW33" s="70" t="s">
        <v>245</v>
      </c>
      <c r="GX33" s="70" t="s">
        <v>245</v>
      </c>
      <c r="GY33" s="70" t="s">
        <v>245</v>
      </c>
      <c r="GZ33" s="70" t="s">
        <v>245</v>
      </c>
      <c r="HA33" s="70" t="s">
        <v>245</v>
      </c>
      <c r="HB33" s="70" t="s">
        <v>245</v>
      </c>
      <c r="HC33" s="70" t="s">
        <v>245</v>
      </c>
      <c r="HD33" s="70" t="s">
        <v>245</v>
      </c>
      <c r="HE33" s="70" t="s">
        <v>245</v>
      </c>
      <c r="HF33" s="70" t="s">
        <v>245</v>
      </c>
      <c r="HG33" s="70" t="s">
        <v>245</v>
      </c>
      <c r="HH33" s="70" t="s">
        <v>245</v>
      </c>
      <c r="HI33" s="70" t="s">
        <v>245</v>
      </c>
      <c r="HJ33" s="70" t="s">
        <v>245</v>
      </c>
      <c r="HK33" s="70" t="s">
        <v>245</v>
      </c>
      <c r="HL33" s="70" t="s">
        <v>245</v>
      </c>
      <c r="HM33" s="70" t="s">
        <v>245</v>
      </c>
      <c r="HN33" s="70" t="s">
        <v>245</v>
      </c>
      <c r="HO33" s="70" t="s">
        <v>245</v>
      </c>
      <c r="HP33" s="70" t="s">
        <v>245</v>
      </c>
      <c r="HQ33" s="70" t="s">
        <v>245</v>
      </c>
      <c r="HR33" s="70" t="s">
        <v>245</v>
      </c>
      <c r="HS33" s="70" t="s">
        <v>245</v>
      </c>
      <c r="HT33" s="70" t="s">
        <v>245</v>
      </c>
      <c r="HU33" s="70" t="s">
        <v>245</v>
      </c>
      <c r="HV33" s="70" t="s">
        <v>245</v>
      </c>
      <c r="HW33" s="70" t="s">
        <v>245</v>
      </c>
      <c r="HX33" s="70" t="s">
        <v>245</v>
      </c>
      <c r="HY33" s="70" t="s">
        <v>245</v>
      </c>
      <c r="HZ33" s="70" t="s">
        <v>245</v>
      </c>
      <c r="IA33" s="70" t="s">
        <v>245</v>
      </c>
      <c r="IB33" s="70" t="s">
        <v>245</v>
      </c>
      <c r="IC33" s="70">
        <f>AVERAGE(Tabla1[[#This Row],[Año 5]],Tabla1[[#This Row],[Año 4]],Tabla1[[#This Row],[Año 3]],Tabla1[[#This Row],[Año 2]],Tabla1[[#This Row],[Año]])</f>
        <v>2002</v>
      </c>
    </row>
  </sheetData>
  <mergeCells count="8">
    <mergeCell ref="D2:IC5"/>
    <mergeCell ref="B7:D7"/>
    <mergeCell ref="B8:D8"/>
    <mergeCell ref="B9:D9"/>
    <mergeCell ref="B12:G12"/>
    <mergeCell ref="H12:M12"/>
    <mergeCell ref="AK12:IC12"/>
    <mergeCell ref="N12:AJ12"/>
  </mergeCells>
  <phoneticPr fontId="5" type="noConversion"/>
  <hyperlinks>
    <hyperlink ref="AX17" r:id="rId1" xr:uid="{0C5AEC5F-8B81-4D07-8C28-F83D8D5BC647}"/>
    <hyperlink ref="BM17" r:id="rId2" xr:uid="{AB7EF52A-1205-4767-A99E-12B7D2D73029}"/>
    <hyperlink ref="AX15" r:id="rId3" xr:uid="{C860F36E-6C04-435F-9D80-E85202D3AF0E}"/>
    <hyperlink ref="CB17" r:id="rId4" xr:uid="{66FFFD7A-C54D-42D5-9C4F-0724000E4613}"/>
    <hyperlink ref="BM15" r:id="rId5" xr:uid="{3850535D-D83B-40E0-8158-4A6816A79A84}"/>
    <hyperlink ref="CQ17" r:id="rId6" xr:uid="{E227046F-5074-4685-B304-075A61CFCD4A}"/>
    <hyperlink ref="DF17" r:id="rId7" xr:uid="{0A46A557-39AA-49A9-83C7-64A61AB48596}"/>
    <hyperlink ref="CB15" r:id="rId8" xr:uid="{627279CE-EDE1-4958-BB1F-4A09DFE08374}"/>
    <hyperlink ref="DU17" r:id="rId9" xr:uid="{BEA78448-94B9-4A10-93A1-A4A1B382C824}"/>
    <hyperlink ref="EJ17" r:id="rId10" xr:uid="{768FEF73-4DA9-4436-B2F0-436B9A43090F}"/>
    <hyperlink ref="AX16" r:id="rId11" xr:uid="{4DE483E3-AEB8-4D05-9BCC-CF084AE64BF2}"/>
    <hyperlink ref="BM18" r:id="rId12" xr:uid="{B928C041-A226-42C2-BFC4-DDC0D1937F31}"/>
    <hyperlink ref="CB18" r:id="rId13" xr:uid="{C3E5BD69-68F3-4110-8E9A-CF606C2B9FFD}"/>
    <hyperlink ref="AX20" r:id="rId14" xr:uid="{92CC2247-B80F-45FC-AA10-92C7AA5EE2BB}"/>
    <hyperlink ref="BM20" r:id="rId15" xr:uid="{F56000A1-EFC3-4059-8100-419A58FE7B0D}"/>
    <hyperlink ref="CB20" r:id="rId16" xr:uid="{0B0493E5-3C4D-42A3-96A3-AAF416A12D75}"/>
    <hyperlink ref="CQ18" r:id="rId17" xr:uid="{2BB07AA0-505D-4392-8E2B-21E5B63283D0}"/>
    <hyperlink ref="AX19" r:id="rId18" xr:uid="{F5678F24-6CA1-4A42-94D6-4C5EA698B5F4}"/>
    <hyperlink ref="BM19" r:id="rId19" xr:uid="{F2EB0F87-9092-4944-B6B1-778A305E8956}"/>
    <hyperlink ref="CQ20" r:id="rId20" xr:uid="{980B2E00-B34C-41E1-9ED8-5EED0A0F530D}"/>
    <hyperlink ref="CB19" r:id="rId21" xr:uid="{42CE4B47-30DE-4E72-B08F-2F072BF55597}"/>
    <hyperlink ref="AX24" r:id="rId22" xr:uid="{86B5C85D-F563-48CF-88E6-D13BBB0FE3F2}"/>
    <hyperlink ref="BM24" r:id="rId23" xr:uid="{B020F3D8-325F-4247-9635-253B66E83F59}"/>
    <hyperlink ref="CB24" r:id="rId24" xr:uid="{B1091DD0-96E2-49B1-94E0-BA3EC426DC1A}"/>
    <hyperlink ref="CQ24" r:id="rId25" xr:uid="{1E9D03B5-1B8A-4762-AB86-7664F14E8E35}"/>
    <hyperlink ref="DF24" r:id="rId26" xr:uid="{1768B918-9DAF-4D67-A809-BE2317446B04}"/>
    <hyperlink ref="CQ19" r:id="rId27" xr:uid="{F7C73C91-C0C8-40D1-AC6A-5F0C784DFE20}"/>
    <hyperlink ref="AX21" r:id="rId28" xr:uid="{6FD729CB-3352-42ED-88C4-8435D95D75B3}"/>
    <hyperlink ref="BM21" r:id="rId29" xr:uid="{E21CDC4B-479C-408A-B549-CC8F57D5F066}"/>
    <hyperlink ref="AX22" r:id="rId30" xr:uid="{C6DD6902-DC2B-41B7-BC3A-EC45C5F389A5}"/>
    <hyperlink ref="AX23" r:id="rId31" xr:uid="{AF1BEC86-38B2-43D2-AD41-DBFE4CC2C512}"/>
    <hyperlink ref="BM23" r:id="rId32" xr:uid="{157C2C9C-3145-40E3-B76B-2563942FEBE5}"/>
    <hyperlink ref="AX25" r:id="rId33" xr:uid="{BFEF101D-560A-47B1-9FA2-A0A82BDA7801}"/>
    <hyperlink ref="BM25" r:id="rId34" xr:uid="{2FC7C77B-3B51-4B03-AD05-B8C680E8756B}"/>
    <hyperlink ref="AX26" r:id="rId35" xr:uid="{40BF318B-03B4-4BB2-8E9D-E760F3001FC0}"/>
    <hyperlink ref="CB23" r:id="rId36" xr:uid="{AADE386E-CD79-4A3A-A92C-A57C85C99790}"/>
    <hyperlink ref="CQ23" r:id="rId37" xr:uid="{411D0766-1B94-42D2-936B-7DA9C1D448C8}"/>
    <hyperlink ref="DF23" r:id="rId38" xr:uid="{08463982-F5D5-4F5D-B76F-7AAF2A6D8D15}"/>
    <hyperlink ref="DU23" r:id="rId39" xr:uid="{5986B739-BA17-4E7F-BAA0-558AB811EC86}"/>
    <hyperlink ref="EJ23" r:id="rId40" xr:uid="{D2DC1090-65CD-4901-8744-C65D0A419BED}"/>
    <hyperlink ref="EY23" r:id="rId41" xr:uid="{0D06992C-FCDB-4D35-9475-838426F2AD56}"/>
    <hyperlink ref="AX29" r:id="rId42" xr:uid="{32721EA4-17A6-4F63-99D7-5F4FC3762303}"/>
    <hyperlink ref="BM29" r:id="rId43" xr:uid="{DE05365F-B77D-47FF-BF23-F4259E8772FA}"/>
    <hyperlink ref="CB29" r:id="rId44" xr:uid="{EB30BC26-27E9-4EEB-B9C9-C75425DB4CE2}"/>
    <hyperlink ref="CQ29" r:id="rId45" xr:uid="{9FCA902F-F02F-4002-9084-25C56EE39D8C}"/>
    <hyperlink ref="AX31" r:id="rId46" xr:uid="{D2720505-62D2-4A4C-8A4E-84DA5021FEF8}"/>
    <hyperlink ref="BM31" r:id="rId47" xr:uid="{F9A0C368-81D7-43B4-BBC6-3659035F61D4}"/>
    <hyperlink ref="AX32" r:id="rId48" xr:uid="{3C3A9254-A80B-44CA-832A-A0611CFBF6BD}"/>
    <hyperlink ref="BM32" r:id="rId49" xr:uid="{B8042639-6414-474E-8FE5-D7C2768B69B0}"/>
    <hyperlink ref="AX30" r:id="rId50" xr:uid="{0D1E810F-C9E9-4988-8F3C-BC1C2238BAD6}"/>
    <hyperlink ref="BM30" r:id="rId51" xr:uid="{284B1D91-9211-458B-8964-80FCF3BA830A}"/>
    <hyperlink ref="CB32" r:id="rId52" xr:uid="{B6DB6B7A-1F0E-4AC0-B7F0-C810C4C20129}"/>
    <hyperlink ref="AX33" r:id="rId53" xr:uid="{2C014B78-D2F0-4D6D-B9A1-C5FD9F69861D}"/>
    <hyperlink ref="CQ32" r:id="rId54" xr:uid="{C5C9DB52-32EF-4C3B-B11B-1DC7D4DB1425}"/>
    <hyperlink ref="AX28" r:id="rId55" xr:uid="{0C10C429-F3FB-45FC-ABCC-AD1CCB8FCD83}"/>
    <hyperlink ref="BM28" r:id="rId56" xr:uid="{E805DEB2-549D-4BA0-B22F-CC3CE28DEBD3}"/>
    <hyperlink ref="Y15" r:id="rId57" xr:uid="{21361301-6A81-4EF2-B25B-5544CDDFCDDC}"/>
    <hyperlink ref="Y16" r:id="rId58" xr:uid="{3536F0B9-6E95-4463-93F3-70D3ECA54AA3}"/>
    <hyperlink ref="Y17" r:id="rId59" xr:uid="{5D91E20D-5EAC-4C2A-8782-496360529C66}"/>
    <hyperlink ref="Y18" r:id="rId60" xr:uid="{45908D80-0FF0-4F48-8F4D-6D14527290AD}"/>
    <hyperlink ref="Y19" r:id="rId61" xr:uid="{8415D0E6-29FD-496B-A92B-ED8D7D075C52}"/>
    <hyperlink ref="Y20" r:id="rId62" xr:uid="{FE177F4C-CFAC-4FC4-B956-C9BB6D0E141B}"/>
    <hyperlink ref="Y22" r:id="rId63" xr:uid="{68BEAA1E-3404-47F3-BCD2-EBB94524CC9E}"/>
    <hyperlink ref="Y23" r:id="rId64" xr:uid="{05826167-C03B-4857-858F-8FB81CF42C6E}"/>
    <hyperlink ref="Y24" r:id="rId65" xr:uid="{D860B345-B9A1-459E-928E-5248FFF90F06}"/>
    <hyperlink ref="Y25" r:id="rId66" xr:uid="{99DECC49-76FB-415B-87E8-BB6426853999}"/>
    <hyperlink ref="Y26" r:id="rId67" xr:uid="{AC7F49AB-3443-442D-8814-45DEA85D8E70}"/>
    <hyperlink ref="Y28" r:id="rId68" xr:uid="{25CAD449-0F58-4854-87C8-F6F5960008EC}"/>
    <hyperlink ref="Y31" r:id="rId69" xr:uid="{AC895F77-06B8-427E-8B74-15AE6AA83285}"/>
    <hyperlink ref="Y33" r:id="rId70" xr:uid="{D8A875EB-5308-4E00-8DA4-6AF525452701}"/>
    <hyperlink ref="AX27" r:id="rId71" xr:uid="{952552AF-1F56-4055-A054-8A8CA625513E}"/>
    <hyperlink ref="AX18" r:id="rId72" xr:uid="{DBA659C4-3B8F-4323-ADE2-B904753EFFAA}"/>
    <hyperlink ref="Y29" r:id="rId73" xr:uid="{1AF49407-09B6-4DAD-A246-68A5CE1DC4E5}"/>
    <hyperlink ref="Y30" r:id="rId74" xr:uid="{68225B91-8A27-47C8-AF7D-1FAEC4AF0CB1}"/>
    <hyperlink ref="Y32" r:id="rId75" display="mailto:felipecerdas@outlook.com" xr:uid="{E46B69C2-D044-4A9E-8909-1311AD71ADD1}"/>
    <hyperlink ref="CB27" r:id="rId76" xr:uid="{E8E21D2A-E054-4286-86DC-F4AF00682A75}"/>
    <hyperlink ref="CQ27" r:id="rId77" xr:uid="{1E0C0EDC-BC6B-43D3-B38B-6D36E654DD7B}"/>
  </hyperlinks>
  <pageMargins left="0.25" right="0.25" top="0.75" bottom="0.75" header="0.3" footer="0.3"/>
  <pageSetup scale="40" orientation="landscape" r:id="rId78"/>
  <drawing r:id="rId79"/>
  <legacyDrawing r:id="rId80"/>
  <tableParts count="1">
    <tablePart r:id="rId8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6F83-DF11-4326-A471-1D6F99397494}">
  <dimension ref="A1:P62"/>
  <sheetViews>
    <sheetView showGridLines="0" zoomScale="83" zoomScaleNormal="83" zoomScaleSheetLayoutView="98" workbookViewId="0">
      <selection activeCell="C44" sqref="C44"/>
    </sheetView>
  </sheetViews>
  <sheetFormatPr baseColWidth="10" defaultColWidth="11.453125" defaultRowHeight="14" x14ac:dyDescent="0.3"/>
  <cols>
    <col min="1" max="1" width="10" style="1" customWidth="1"/>
    <col min="2" max="2" width="33.08984375" style="1" customWidth="1"/>
    <col min="3" max="3" width="32.54296875" style="1" customWidth="1"/>
    <col min="4" max="4" width="18.90625" style="1" customWidth="1"/>
    <col min="5" max="5" width="13.1796875" style="3" customWidth="1"/>
    <col min="6" max="6" width="5" style="3" customWidth="1"/>
    <col min="7" max="7" width="14.90625" style="3" customWidth="1"/>
    <col min="8" max="8" width="5.81640625" style="3" customWidth="1"/>
    <col min="9" max="9" width="17.90625" style="3" customWidth="1"/>
    <col min="10" max="10" width="12.08984375" style="3" customWidth="1"/>
    <col min="11" max="11" width="10.90625" style="3" customWidth="1"/>
    <col min="12" max="12" width="10" style="3" customWidth="1"/>
    <col min="13" max="13" width="5.54296875" style="3" customWidth="1"/>
    <col min="14" max="14" width="6.08984375" style="3" customWidth="1"/>
    <col min="15" max="15" width="13.90625" style="3" customWidth="1"/>
    <col min="16" max="16384" width="11.453125" style="1"/>
  </cols>
  <sheetData>
    <row r="1" spans="1:16" s="12" customFormat="1" ht="39" customHeight="1" x14ac:dyDescent="0.25">
      <c r="A1" s="6" t="s">
        <v>754</v>
      </c>
      <c r="B1" s="7" t="s">
        <v>9</v>
      </c>
      <c r="C1" s="8" t="s">
        <v>824</v>
      </c>
      <c r="D1" s="7" t="s">
        <v>755</v>
      </c>
      <c r="E1" s="7" t="s">
        <v>756</v>
      </c>
      <c r="F1" s="9" t="s">
        <v>757</v>
      </c>
      <c r="G1" s="10" t="s">
        <v>758</v>
      </c>
      <c r="H1" s="9" t="s">
        <v>759</v>
      </c>
      <c r="I1" s="7" t="s">
        <v>760</v>
      </c>
      <c r="J1" s="7" t="s">
        <v>51</v>
      </c>
      <c r="K1" s="7" t="s">
        <v>52</v>
      </c>
      <c r="L1" s="7" t="s">
        <v>53</v>
      </c>
      <c r="M1" s="9" t="s">
        <v>761</v>
      </c>
      <c r="N1" s="9" t="s">
        <v>762</v>
      </c>
      <c r="O1" s="21" t="s">
        <v>767</v>
      </c>
      <c r="P1" s="19" t="s">
        <v>768</v>
      </c>
    </row>
    <row r="2" spans="1:16" s="2" customFormat="1" ht="12.5" x14ac:dyDescent="0.25">
      <c r="A2" s="5">
        <v>1</v>
      </c>
      <c r="B2" s="102" t="str">
        <f>VLOOKUP(A2,Tabla1[#All],2)</f>
        <v>Luis Antonio Zeledón Prendas</v>
      </c>
      <c r="C2" s="102" t="str">
        <f>VLOOKUP(A2,Tabla1[#All],36)</f>
        <v>LUIS ZELEDON PRENDAS</v>
      </c>
      <c r="D2" s="102" t="str">
        <f>VLOOKUP(A2,Tabla1[#All],37)</f>
        <v>3-02 TURRIALBA</v>
      </c>
      <c r="E2" s="104">
        <f>VLOOKUP(A2,Tabla1[#All],39)</f>
        <v>6</v>
      </c>
      <c r="F2" s="104">
        <v>35</v>
      </c>
      <c r="G2" s="104">
        <f>VLOOKUP(A2,Tabla1[#All],40)</f>
        <v>9</v>
      </c>
      <c r="H2" s="104">
        <v>35</v>
      </c>
      <c r="I2" s="104" t="str">
        <f>VLOOKUP(A2,Tabla1[#All],43)</f>
        <v>BACHILLER</v>
      </c>
      <c r="J2" s="104" t="str">
        <f>VLOOKUP(A2,Tabla1[#All],44)</f>
        <v>NO</v>
      </c>
      <c r="K2" s="104" t="str">
        <f>VLOOKUP(A2,Tabla1[#All],45)</f>
        <v>NO</v>
      </c>
      <c r="L2" s="104" t="str">
        <f>VLOOKUP(A2,Tabla1[#All],46)</f>
        <v>NO</v>
      </c>
      <c r="M2" s="104">
        <v>7</v>
      </c>
      <c r="N2" s="104">
        <f t="shared" ref="N2:N33" si="0">+F2+H2+M2</f>
        <v>77</v>
      </c>
      <c r="O2" s="105">
        <v>5</v>
      </c>
      <c r="P2" s="17">
        <f>+Tabla26[[#This Row],[Nota Total ]]+Tabla26[[#This Row],[Nota Unidades]]</f>
        <v>82</v>
      </c>
    </row>
    <row r="3" spans="1:16" x14ac:dyDescent="0.3">
      <c r="A3" s="11">
        <v>1</v>
      </c>
      <c r="B3" s="106" t="str">
        <f>VLOOKUP(A3,Tabla1[#All],2)</f>
        <v>Luis Antonio Zeledón Prendas</v>
      </c>
      <c r="C3" s="106" t="str">
        <f>VLOOKUP(A3,Tabla1[#All],51)</f>
        <v>DINIER ARAYA ROMERO</v>
      </c>
      <c r="D3" s="106" t="str">
        <f>VLOOKUP(A3,Tabla1[#All],52)</f>
        <v>3-01 CARTAGO</v>
      </c>
      <c r="E3" s="108">
        <f>VLOOKUP(A3,Tabla1[#All],54)</f>
        <v>5</v>
      </c>
      <c r="F3" s="108">
        <v>35</v>
      </c>
      <c r="G3" s="108">
        <f>VLOOKUP(A3,Tabla1[#All],55)</f>
        <v>7</v>
      </c>
      <c r="H3" s="108">
        <v>35</v>
      </c>
      <c r="I3" s="108" t="str">
        <f>VLOOKUP(A3,Tabla1[#All],58)</f>
        <v>SEXTO</v>
      </c>
      <c r="J3" s="108" t="str">
        <f>VLOOKUP(A3,Tabla1[#All],59)</f>
        <v>NO</v>
      </c>
      <c r="K3" s="108" t="str">
        <f>VLOOKUP(A3,Tabla1[#All],60)</f>
        <v>NO</v>
      </c>
      <c r="L3" s="108" t="str">
        <f>VLOOKUP(A3,Tabla1[#All],61)</f>
        <v>NO</v>
      </c>
      <c r="M3" s="108">
        <v>5</v>
      </c>
      <c r="N3" s="108">
        <f t="shared" si="0"/>
        <v>75</v>
      </c>
      <c r="O3" s="105">
        <v>10</v>
      </c>
      <c r="P3" s="16">
        <f>+Tabla26[[#This Row],[Nota Total ]]+Tabla26[[#This Row],[Nota Unidades]]</f>
        <v>85</v>
      </c>
    </row>
    <row r="4" spans="1:16" x14ac:dyDescent="0.3">
      <c r="A4" s="11">
        <v>1</v>
      </c>
      <c r="B4" s="106" t="str">
        <f>VLOOKUP(A4,Tabla1[#All],2)</f>
        <v>Luis Antonio Zeledón Prendas</v>
      </c>
      <c r="C4" s="106" t="str">
        <f>VLOOKUP(A4,Tabla1[#All],66)</f>
        <v>LEONARDO VARGAS SERRANO</v>
      </c>
      <c r="D4" s="106" t="str">
        <f>VLOOKUP(A4,Tabla1[#All],67)</f>
        <v>3-01 CARTAGO</v>
      </c>
      <c r="E4" s="108">
        <f>VLOOKUP(A4,Tabla1[#All],69)</f>
        <v>1</v>
      </c>
      <c r="F4" s="108">
        <v>25</v>
      </c>
      <c r="G4" s="108">
        <f>VLOOKUP(A4,Tabla1[#All],70)</f>
        <v>7</v>
      </c>
      <c r="H4" s="108">
        <v>35</v>
      </c>
      <c r="I4" s="108" t="str">
        <f>VLOOKUP(A4,Tabla1[#All],73)</f>
        <v>SEXTO</v>
      </c>
      <c r="J4" s="108" t="str">
        <f>VLOOKUP(A4,Tabla1[#All],74)</f>
        <v>NO</v>
      </c>
      <c r="K4" s="108" t="str">
        <f>VLOOKUP(A4,Tabla1[#All],75)</f>
        <v>NO</v>
      </c>
      <c r="L4" s="108" t="str">
        <f>VLOOKUP(A4,Tabla1[#All],76)</f>
        <v>NO</v>
      </c>
      <c r="M4" s="108">
        <v>5</v>
      </c>
      <c r="N4" s="108">
        <f t="shared" si="0"/>
        <v>65</v>
      </c>
      <c r="O4" s="105">
        <v>15</v>
      </c>
      <c r="P4" s="16">
        <f>+Tabla26[[#This Row],[Nota Total ]]+Tabla26[[#This Row],[Nota Unidades]]</f>
        <v>80</v>
      </c>
    </row>
    <row r="5" spans="1:16" x14ac:dyDescent="0.3">
      <c r="A5" s="11">
        <v>2</v>
      </c>
      <c r="B5" s="106" t="str">
        <f>VLOOKUP(A5,Tabla1[#All],2)</f>
        <v>Pablo Araya Romero</v>
      </c>
      <c r="C5" s="106" t="str">
        <f>VLOOKUP(A5,Tabla1[#All],36)</f>
        <v>PABLO ARAYA ROMERO</v>
      </c>
      <c r="D5" s="106" t="str">
        <f>VLOOKUP(A5,Tabla1[#All],37)</f>
        <v>1-09 LOS SANTOS</v>
      </c>
      <c r="E5" s="108" t="str">
        <f>VLOOKUP(A5,Tabla1[#All],39)</f>
        <v>4 AÑOS</v>
      </c>
      <c r="F5" s="108">
        <v>35</v>
      </c>
      <c r="G5" s="108" t="str">
        <f>VLOOKUP(A5,Tabla1[#All],40)</f>
        <v>5 AÑOS</v>
      </c>
      <c r="H5" s="108">
        <v>35</v>
      </c>
      <c r="I5" s="108" t="str">
        <f>VLOOKUP(A5,Tabla1[#All],43)</f>
        <v>SEXTO</v>
      </c>
      <c r="J5" s="108" t="str">
        <f>VLOOKUP(A5,Tabla1[#All],44)</f>
        <v>NO</v>
      </c>
      <c r="K5" s="108" t="str">
        <f>VLOOKUP(A5,Tabla1[#All],45)</f>
        <v>NO</v>
      </c>
      <c r="L5" s="108" t="str">
        <f>VLOOKUP(A5,Tabla1[#All],46)</f>
        <v>NO</v>
      </c>
      <c r="M5" s="108">
        <v>5</v>
      </c>
      <c r="N5" s="108">
        <f t="shared" si="0"/>
        <v>75</v>
      </c>
      <c r="O5" s="107">
        <v>10</v>
      </c>
      <c r="P5" s="16">
        <f>+Tabla26[[#This Row],[Nota Total ]]+Tabla26[[#This Row],[Nota Unidades]]</f>
        <v>85</v>
      </c>
    </row>
    <row r="6" spans="1:16" x14ac:dyDescent="0.3">
      <c r="A6" s="11">
        <v>3</v>
      </c>
      <c r="B6" s="106" t="str">
        <f>VLOOKUP(A6,Tabla1[#All],2)</f>
        <v xml:space="preserve">Melvin Vargas Sandí </v>
      </c>
      <c r="C6" s="106" t="str">
        <f>VLOOKUP(A6,Tabla1[#All],36)</f>
        <v>GABRIEL POVEDA SANCHEZ</v>
      </c>
      <c r="D6" s="106" t="str">
        <f>VLOOKUP(A6,Tabla1[#All],37)</f>
        <v>1-03 DESAMPARADOS</v>
      </c>
      <c r="E6" s="108" t="str">
        <f>VLOOKUP(A6,Tabla1[#All],39)</f>
        <v>4 MESES</v>
      </c>
      <c r="F6" s="108">
        <v>15</v>
      </c>
      <c r="G6" s="108">
        <f>VLOOKUP(A6,Tabla1[#All],40)</f>
        <v>2</v>
      </c>
      <c r="H6" s="108">
        <v>25</v>
      </c>
      <c r="I6" s="108" t="str">
        <f>VLOOKUP(A6,Tabla1[#All],43)</f>
        <v>SEXTO</v>
      </c>
      <c r="J6" s="108" t="str">
        <f>VLOOKUP(A6,Tabla1[#All],44)</f>
        <v>NO</v>
      </c>
      <c r="K6" s="108" t="str">
        <f>VLOOKUP(A6,Tabla1[#All],45)</f>
        <v>NO</v>
      </c>
      <c r="L6" s="108" t="str">
        <f>VLOOKUP(A6,Tabla1[#All],46)</f>
        <v>NO</v>
      </c>
      <c r="M6" s="108">
        <v>5</v>
      </c>
      <c r="N6" s="108">
        <f t="shared" si="0"/>
        <v>45</v>
      </c>
      <c r="O6" s="107">
        <v>15</v>
      </c>
      <c r="P6" s="16">
        <f>+Tabla26[[#This Row],[Nota Total ]]+Tabla26[[#This Row],[Nota Unidades]]</f>
        <v>60</v>
      </c>
    </row>
    <row r="7" spans="1:16" x14ac:dyDescent="0.3">
      <c r="A7" s="11">
        <v>3</v>
      </c>
      <c r="B7" s="106" t="str">
        <f>VLOOKUP(A7,Tabla1[#All],2)</f>
        <v xml:space="preserve">Melvin Vargas Sandí </v>
      </c>
      <c r="C7" s="106" t="str">
        <f>VLOOKUP(A7,Tabla1[#All],51)</f>
        <v>ANTHONY DURAN ACOSTA</v>
      </c>
      <c r="D7" s="106" t="str">
        <f>VLOOKUP(A7,Tabla1[#All],52)</f>
        <v>1-03 DESAMPARADOS</v>
      </c>
      <c r="E7" s="108">
        <f>VLOOKUP(A7,Tabla1[#All],54)</f>
        <v>0</v>
      </c>
      <c r="F7" s="108">
        <v>5</v>
      </c>
      <c r="G7" s="108">
        <f>VLOOKUP(A7,Tabla1[#All],55)</f>
        <v>6</v>
      </c>
      <c r="H7" s="108">
        <v>35</v>
      </c>
      <c r="I7" s="108" t="str">
        <f>VLOOKUP(A7,Tabla1[#All],58)</f>
        <v>SEXTO</v>
      </c>
      <c r="J7" s="108" t="str">
        <f>VLOOKUP(A7,Tabla1[#All],59)</f>
        <v>NO</v>
      </c>
      <c r="K7" s="108" t="str">
        <f>VLOOKUP(A7,Tabla1[#All],60)</f>
        <v>NO</v>
      </c>
      <c r="L7" s="108" t="str">
        <f>VLOOKUP(A7,Tabla1[#All],61)</f>
        <v>NO</v>
      </c>
      <c r="M7" s="108">
        <v>5</v>
      </c>
      <c r="N7" s="108">
        <f t="shared" si="0"/>
        <v>45</v>
      </c>
      <c r="O7" s="107">
        <v>5</v>
      </c>
      <c r="P7" s="16">
        <f>+Tabla26[[#This Row],[Nota Total ]]+Tabla26[[#This Row],[Nota Unidades]]</f>
        <v>50</v>
      </c>
    </row>
    <row r="8" spans="1:16" x14ac:dyDescent="0.3">
      <c r="A8" s="11">
        <v>3</v>
      </c>
      <c r="B8" s="106" t="str">
        <f>VLOOKUP(A8,Tabla1[#All],2)</f>
        <v xml:space="preserve">Melvin Vargas Sandí </v>
      </c>
      <c r="C8" s="106" t="str">
        <f>VLOOKUP(A8,Tabla1[#All],66)</f>
        <v>JOAQUIN POVEDA SANCHEZ</v>
      </c>
      <c r="D8" s="106" t="str">
        <f>VLOOKUP(A8,Tabla1[#All],67)</f>
        <v>1-05 PAVAS</v>
      </c>
      <c r="E8" s="108">
        <f>VLOOKUP(A8,Tabla1[#All],69)</f>
        <v>3</v>
      </c>
      <c r="F8" s="108">
        <v>35</v>
      </c>
      <c r="G8" s="108">
        <f>VLOOKUP(A8,Tabla1[#All],70)</f>
        <v>8</v>
      </c>
      <c r="H8" s="108">
        <v>35</v>
      </c>
      <c r="I8" s="108" t="str">
        <f>VLOOKUP(A8,Tabla1[#All],73)</f>
        <v>SEXTO</v>
      </c>
      <c r="J8" s="108" t="str">
        <f>VLOOKUP(A8,Tabla1[#All],74)</f>
        <v>NO</v>
      </c>
      <c r="K8" s="108" t="str">
        <f>VLOOKUP(A8,Tabla1[#All],75)</f>
        <v>NO</v>
      </c>
      <c r="L8" s="108" t="str">
        <f>VLOOKUP(A8,Tabla1[#All],76)</f>
        <v>NO</v>
      </c>
      <c r="M8" s="108">
        <v>5</v>
      </c>
      <c r="N8" s="108">
        <f t="shared" si="0"/>
        <v>75</v>
      </c>
      <c r="O8" s="105">
        <v>10</v>
      </c>
      <c r="P8" s="16">
        <f>+Tabla26[[#This Row],[Nota Total ]]+Tabla26[[#This Row],[Nota Unidades]]</f>
        <v>85</v>
      </c>
    </row>
    <row r="9" spans="1:16" x14ac:dyDescent="0.3">
      <c r="A9" s="11">
        <v>3</v>
      </c>
      <c r="B9" s="106" t="str">
        <f>VLOOKUP(A9,Tabla1[#All],2)</f>
        <v xml:space="preserve">Melvin Vargas Sandí </v>
      </c>
      <c r="C9" s="106" t="str">
        <f>VLOOKUP(A9,Tabla1[#All],81)</f>
        <v>KENNETH ZAPATA VASQUEZ</v>
      </c>
      <c r="D9" s="106" t="str">
        <f>VLOOKUP(A9,Tabla1[#All],82)</f>
        <v>1-05 PAVAS</v>
      </c>
      <c r="E9" s="108">
        <f>VLOOKUP(A9,Tabla1[#All],84)</f>
        <v>4</v>
      </c>
      <c r="F9" s="108">
        <v>35</v>
      </c>
      <c r="G9" s="108">
        <f>VLOOKUP(A9,Tabla1[#All],85)</f>
        <v>4</v>
      </c>
      <c r="H9" s="108">
        <v>35</v>
      </c>
      <c r="I9" s="108" t="str">
        <f>VLOOKUP(A9,Tabla1[#All],88)</f>
        <v>SEXTO</v>
      </c>
      <c r="J9" s="108" t="str">
        <f>VLOOKUP(A9,Tabla1[#All],89)</f>
        <v>NO</v>
      </c>
      <c r="K9" s="108" t="str">
        <f>VLOOKUP(A9,Tabla1[#All],90)</f>
        <v>NO</v>
      </c>
      <c r="L9" s="108" t="str">
        <f>VLOOKUP(A9,Tabla1[#All],91)</f>
        <v>NO</v>
      </c>
      <c r="M9" s="108">
        <v>5</v>
      </c>
      <c r="N9" s="108">
        <f t="shared" si="0"/>
        <v>75</v>
      </c>
      <c r="O9" s="105">
        <v>5</v>
      </c>
      <c r="P9" s="16">
        <f>+Tabla26[[#This Row],[Nota Total ]]+Tabla26[[#This Row],[Nota Unidades]]</f>
        <v>80</v>
      </c>
    </row>
    <row r="10" spans="1:16" x14ac:dyDescent="0.3">
      <c r="A10" s="11">
        <v>3</v>
      </c>
      <c r="B10" s="106" t="str">
        <f>VLOOKUP(A10,Tabla1[#All],2)</f>
        <v xml:space="preserve">Melvin Vargas Sandí </v>
      </c>
      <c r="C10" s="106" t="str">
        <f>VLOOKUP(A10,Tabla1[#All],96)</f>
        <v>LUIS MADRIGAL LOPEZ</v>
      </c>
      <c r="D10" s="106" t="str">
        <f>VLOOKUP(A10,Tabla1[#All],97)</f>
        <v>1-05 PAVAS</v>
      </c>
      <c r="E10" s="108">
        <f>VLOOKUP(A10,Tabla1[#All],99)</f>
        <v>7</v>
      </c>
      <c r="F10" s="108">
        <v>35</v>
      </c>
      <c r="G10" s="108">
        <f>VLOOKUP(A10,Tabla1[#All],100)</f>
        <v>7</v>
      </c>
      <c r="H10" s="108">
        <v>35</v>
      </c>
      <c r="I10" s="108" t="str">
        <f>VLOOKUP(A10,Tabla1[#All],103)</f>
        <v>SEXTO</v>
      </c>
      <c r="J10" s="108" t="str">
        <f>VLOOKUP(A10,Tabla1[#All],104)</f>
        <v>NO</v>
      </c>
      <c r="K10" s="108" t="str">
        <f>VLOOKUP(A10,Tabla1[#All],105)</f>
        <v>NO</v>
      </c>
      <c r="L10" s="108" t="str">
        <f>VLOOKUP(A10,Tabla1[#All],106)</f>
        <v>SI</v>
      </c>
      <c r="M10" s="108">
        <v>6</v>
      </c>
      <c r="N10" s="108">
        <f t="shared" si="0"/>
        <v>76</v>
      </c>
      <c r="O10" s="105">
        <v>5</v>
      </c>
      <c r="P10" s="16">
        <f>+Tabla26[[#This Row],[Nota Total ]]+Tabla26[[#This Row],[Nota Unidades]]</f>
        <v>81</v>
      </c>
    </row>
    <row r="11" spans="1:16" x14ac:dyDescent="0.3">
      <c r="A11" s="11">
        <v>3</v>
      </c>
      <c r="B11" s="106" t="str">
        <f>VLOOKUP(A11,Tabla1[#All],2)</f>
        <v xml:space="preserve">Melvin Vargas Sandí </v>
      </c>
      <c r="C11" s="106" t="str">
        <f>VLOOKUP(A11,Tabla1[#All],111)</f>
        <v>MARCO RAMIREZ SEGURA</v>
      </c>
      <c r="D11" s="106" t="str">
        <f>VLOOKUP(A11,Tabla1[#All],112)</f>
        <v>ZONA 1-05 PAVAS</v>
      </c>
      <c r="E11" s="108">
        <f>VLOOKUP(A11,Tabla1[#All],114)</f>
        <v>0</v>
      </c>
      <c r="F11" s="108">
        <v>5</v>
      </c>
      <c r="G11" s="108">
        <f>VLOOKUP(A11,Tabla1[#All],115)</f>
        <v>5</v>
      </c>
      <c r="H11" s="108">
        <v>35</v>
      </c>
      <c r="I11" s="108" t="str">
        <f>VLOOKUP(A11,Tabla1[#All],118)</f>
        <v>SEXTO</v>
      </c>
      <c r="J11" s="108" t="str">
        <f>VLOOKUP(A11,Tabla1[#All],119)</f>
        <v>NO</v>
      </c>
      <c r="K11" s="108" t="str">
        <f>VLOOKUP(A11,Tabla1[#All],120)</f>
        <v>NO</v>
      </c>
      <c r="L11" s="108" t="str">
        <f>VLOOKUP(A11,Tabla1[#All],121)</f>
        <v>NO</v>
      </c>
      <c r="M11" s="108">
        <v>5</v>
      </c>
      <c r="N11" s="108">
        <f t="shared" si="0"/>
        <v>45</v>
      </c>
      <c r="O11" s="105">
        <v>10</v>
      </c>
      <c r="P11" s="16">
        <f>+Tabla26[[#This Row],[Nota Total ]]+Tabla26[[#This Row],[Nota Unidades]]</f>
        <v>55</v>
      </c>
    </row>
    <row r="12" spans="1:16" x14ac:dyDescent="0.3">
      <c r="A12" s="11">
        <v>3</v>
      </c>
      <c r="B12" s="106" t="str">
        <f>VLOOKUP(A12,Tabla1[#All],2)</f>
        <v xml:space="preserve">Melvin Vargas Sandí </v>
      </c>
      <c r="C12" s="106" t="str">
        <f>VLOOKUP(A12,Tabla1[#All],126)</f>
        <v>MELVIN VARGAS SANDI</v>
      </c>
      <c r="D12" s="106" t="str">
        <f>VLOOKUP(A12,Tabla1[#All],127)</f>
        <v>1-06 PURISCAL</v>
      </c>
      <c r="E12" s="108">
        <f>VLOOKUP(A12,Tabla1[#All],129)</f>
        <v>9</v>
      </c>
      <c r="F12" s="108">
        <v>35</v>
      </c>
      <c r="G12" s="108">
        <f>VLOOKUP(A12,Tabla1[#All],130)</f>
        <v>10</v>
      </c>
      <c r="H12" s="108">
        <v>35</v>
      </c>
      <c r="I12" s="108" t="str">
        <f>VLOOKUP(A12,Tabla1[#All],133)</f>
        <v>BACHILLER</v>
      </c>
      <c r="J12" s="108" t="str">
        <f>VLOOKUP(A12,Tabla1[#All],134)</f>
        <v>SI</v>
      </c>
      <c r="K12" s="108" t="str">
        <f>VLOOKUP(A12,Tabla1[#All],135)</f>
        <v>NO</v>
      </c>
      <c r="L12" s="108" t="str">
        <f>VLOOKUP(A12,Tabla1[#All],136)</f>
        <v>NO</v>
      </c>
      <c r="M12" s="108">
        <v>8</v>
      </c>
      <c r="N12" s="108">
        <f t="shared" si="0"/>
        <v>78</v>
      </c>
      <c r="O12" s="105">
        <v>20</v>
      </c>
      <c r="P12" s="16">
        <f>+Tabla26[[#This Row],[Nota Total ]]+Tabla26[[#This Row],[Nota Unidades]]</f>
        <v>98</v>
      </c>
    </row>
    <row r="13" spans="1:16" x14ac:dyDescent="0.3">
      <c r="A13" s="11">
        <v>4</v>
      </c>
      <c r="B13" s="106" t="str">
        <f>VLOOKUP(A13,Tabla1[#All],2)</f>
        <v xml:space="preserve">José Gerardo Cortes Araya </v>
      </c>
      <c r="C13" s="106" t="str">
        <f>VLOOKUP(A13,Tabla1[#All],36)</f>
        <v>LUIS ALONSO CASTRO SOLORZANO</v>
      </c>
      <c r="D13" s="106" t="str">
        <f>VLOOKUP(A13,Tabla1[#All],37)</f>
        <v>5-02 NICOYA</v>
      </c>
      <c r="E13" s="108" t="str">
        <f>VLOOKUP(A13,Tabla1[#All],39)</f>
        <v>6 MESES</v>
      </c>
      <c r="F13" s="108">
        <v>15</v>
      </c>
      <c r="G13" s="108">
        <f>VLOOKUP(A13,Tabla1[#All],40)</f>
        <v>3</v>
      </c>
      <c r="H13" s="108">
        <v>35</v>
      </c>
      <c r="I13" s="108" t="str">
        <f>VLOOKUP(A13,Tabla1[#All],43)</f>
        <v>BACHILLER</v>
      </c>
      <c r="J13" s="108" t="str">
        <f>VLOOKUP(A13,Tabla1[#All],44)</f>
        <v>NO</v>
      </c>
      <c r="K13" s="108" t="str">
        <f>VLOOKUP(A13,Tabla1[#All],45)</f>
        <v>NO</v>
      </c>
      <c r="L13" s="108" t="str">
        <f>VLOOKUP(A13,Tabla1[#All],46)</f>
        <v>NO</v>
      </c>
      <c r="M13" s="108">
        <v>7</v>
      </c>
      <c r="N13" s="108">
        <f t="shared" si="0"/>
        <v>57</v>
      </c>
      <c r="O13" s="107">
        <v>5</v>
      </c>
      <c r="P13" s="16">
        <f>+Tabla26[[#This Row],[Nota Total ]]+Tabla26[[#This Row],[Nota Unidades]]</f>
        <v>62</v>
      </c>
    </row>
    <row r="14" spans="1:16" x14ac:dyDescent="0.3">
      <c r="A14" s="11">
        <v>4</v>
      </c>
      <c r="B14" s="106" t="str">
        <f>VLOOKUP(A14,Tabla1[#All],2)</f>
        <v xml:space="preserve">José Gerardo Cortes Araya </v>
      </c>
      <c r="C14" s="106" t="str">
        <f>VLOOKUP(A14,Tabla1[#All],51)</f>
        <v>GERARDO CORTES ARAYA</v>
      </c>
      <c r="D14" s="106" t="str">
        <f>VLOOKUP(A14,Tabla1[#All],52)</f>
        <v>5-04 SANTA CRUZ</v>
      </c>
      <c r="E14" s="108">
        <f>VLOOKUP(A14,Tabla1[#All],54)</f>
        <v>8</v>
      </c>
      <c r="F14" s="108">
        <v>35</v>
      </c>
      <c r="G14" s="108">
        <f>VLOOKUP(A14,Tabla1[#All],55)</f>
        <v>17</v>
      </c>
      <c r="H14" s="108">
        <v>35</v>
      </c>
      <c r="I14" s="108" t="str">
        <f>VLOOKUP(A14,Tabla1[#All],58)</f>
        <v>BACHILLER</v>
      </c>
      <c r="J14" s="108" t="str">
        <f>VLOOKUP(A14,Tabla1[#All],59)</f>
        <v>NO</v>
      </c>
      <c r="K14" s="108" t="str">
        <f>VLOOKUP(A14,Tabla1[#All],60)</f>
        <v>SI</v>
      </c>
      <c r="L14" s="108" t="str">
        <f>VLOOKUP(A14,Tabla1[#All],61)</f>
        <v>NO</v>
      </c>
      <c r="M14" s="108">
        <v>8</v>
      </c>
      <c r="N14" s="108">
        <f t="shared" si="0"/>
        <v>78</v>
      </c>
      <c r="O14" s="107">
        <v>15</v>
      </c>
      <c r="P14" s="16">
        <f>+Tabla26[[#This Row],[Nota Total ]]+Tabla26[[#This Row],[Nota Unidades]]</f>
        <v>93</v>
      </c>
    </row>
    <row r="15" spans="1:16" x14ac:dyDescent="0.3">
      <c r="A15" s="11">
        <v>4</v>
      </c>
      <c r="B15" s="106" t="str">
        <f>VLOOKUP(A15,Tabla1[#All],2)</f>
        <v xml:space="preserve">José Gerardo Cortes Araya </v>
      </c>
      <c r="C15" s="106" t="str">
        <f>VLOOKUP(A15,Tabla1[#All],66)</f>
        <v>LUIS OBANDO GONZALEZ</v>
      </c>
      <c r="D15" s="106" t="str">
        <f>VLOOKUP(A15,Tabla1[#All],67)</f>
        <v>5-01 LIBERIA</v>
      </c>
      <c r="E15" s="108">
        <f>VLOOKUP(A15,Tabla1[#All],69)</f>
        <v>2</v>
      </c>
      <c r="F15" s="108">
        <v>35</v>
      </c>
      <c r="G15" s="108">
        <f>VLOOKUP(A15,Tabla1[#All],70)</f>
        <v>29</v>
      </c>
      <c r="H15" s="108">
        <v>35</v>
      </c>
      <c r="I15" s="108" t="str">
        <f>VLOOKUP(A15,Tabla1[#All],73)</f>
        <v>BACHILLER</v>
      </c>
      <c r="J15" s="108" t="str">
        <f>VLOOKUP(A15,Tabla1[#All],74)</f>
        <v>NO</v>
      </c>
      <c r="K15" s="108" t="str">
        <f>VLOOKUP(A15,Tabla1[#All],75)</f>
        <v>NO</v>
      </c>
      <c r="L15" s="108" t="str">
        <f>VLOOKUP(A15,Tabla1[#All],76)</f>
        <v>NO</v>
      </c>
      <c r="M15" s="108">
        <v>7</v>
      </c>
      <c r="N15" s="108">
        <f t="shared" si="0"/>
        <v>77</v>
      </c>
      <c r="O15" s="107">
        <v>20</v>
      </c>
      <c r="P15" s="16">
        <f>+Tabla26[[#This Row],[Nota Total ]]+Tabla26[[#This Row],[Nota Unidades]]</f>
        <v>97</v>
      </c>
    </row>
    <row r="16" spans="1:16" x14ac:dyDescent="0.3">
      <c r="A16" s="11">
        <v>4</v>
      </c>
      <c r="B16" s="106" t="str">
        <f>VLOOKUP(A16,Tabla1[#All],2)</f>
        <v xml:space="preserve">José Gerardo Cortes Araya </v>
      </c>
      <c r="C16" s="106" t="str">
        <f>VLOOKUP(A16,Tabla1[#All],81)</f>
        <v>MARIO ROJAS RODRIGUEZ</v>
      </c>
      <c r="D16" s="106" t="str">
        <f>VLOOKUP(A16,Tabla1[#All],82)</f>
        <v>5-01 LIBERIA</v>
      </c>
      <c r="E16" s="108">
        <f>VLOOKUP(A16,Tabla1[#All],84)</f>
        <v>2</v>
      </c>
      <c r="F16" s="108">
        <v>35</v>
      </c>
      <c r="G16" s="108">
        <f>VLOOKUP(A16,Tabla1[#All],85)</f>
        <v>27</v>
      </c>
      <c r="H16" s="108">
        <v>35</v>
      </c>
      <c r="I16" s="108" t="str">
        <f>VLOOKUP(A16,Tabla1[#All],88)</f>
        <v>BACHILLER</v>
      </c>
      <c r="J16" s="108" t="str">
        <f>VLOOKUP(A16,Tabla1[#All],89)</f>
        <v>NO</v>
      </c>
      <c r="K16" s="108" t="str">
        <f>VLOOKUP(A16,Tabla1[#All],90)</f>
        <v>NO</v>
      </c>
      <c r="L16" s="108" t="str">
        <f>VLOOKUP(A16,Tabla1[#All],91)</f>
        <v>NO</v>
      </c>
      <c r="M16" s="108">
        <v>7</v>
      </c>
      <c r="N16" s="108">
        <f t="shared" si="0"/>
        <v>77</v>
      </c>
      <c r="O16" s="107">
        <v>5</v>
      </c>
      <c r="P16" s="16">
        <f>+Tabla26[[#This Row],[Nota Total ]]+Tabla26[[#This Row],[Nota Unidades]]</f>
        <v>82</v>
      </c>
    </row>
    <row r="17" spans="1:16" x14ac:dyDescent="0.3">
      <c r="A17" s="11">
        <v>5</v>
      </c>
      <c r="B17" s="106" t="str">
        <f>VLOOKUP(A17,Tabla1[#All],2)</f>
        <v xml:space="preserve">Marcela Arias Salas </v>
      </c>
      <c r="C17" s="106" t="str">
        <f>VLOOKUP(A17,Tabla1[#All],36)</f>
        <v>ERICK LEONEL ROBLERO CAMPOS</v>
      </c>
      <c r="D17" s="106" t="str">
        <f>VLOOKUP(A17,Tabla1[#All],37)</f>
        <v>2-02 ATENAS</v>
      </c>
      <c r="E17" s="108">
        <f>VLOOKUP(A17,Tabla1[#All],39)</f>
        <v>1</v>
      </c>
      <c r="F17" s="108">
        <v>25</v>
      </c>
      <c r="G17" s="108">
        <f>VLOOKUP(A17,Tabla1[#All],40)</f>
        <v>2</v>
      </c>
      <c r="H17" s="108">
        <v>25</v>
      </c>
      <c r="I17" s="108" t="str">
        <f>VLOOKUP(A17,Tabla1[#All],43)</f>
        <v>BACHILLER</v>
      </c>
      <c r="J17" s="108" t="str">
        <f>VLOOKUP(A17,Tabla1[#All],44)</f>
        <v>NO</v>
      </c>
      <c r="K17" s="108" t="str">
        <f>VLOOKUP(A17,Tabla1[#All],45)</f>
        <v>NO</v>
      </c>
      <c r="L17" s="108" t="str">
        <f>VLOOKUP(A17,Tabla1[#All],46)</f>
        <v>NO</v>
      </c>
      <c r="M17" s="108">
        <v>7</v>
      </c>
      <c r="N17" s="108">
        <f t="shared" si="0"/>
        <v>57</v>
      </c>
      <c r="O17" s="107">
        <v>20</v>
      </c>
      <c r="P17" s="16">
        <f>+Tabla26[[#This Row],[Nota Total ]]+Tabla26[[#This Row],[Nota Unidades]]</f>
        <v>77</v>
      </c>
    </row>
    <row r="18" spans="1:16" x14ac:dyDescent="0.3">
      <c r="A18" s="11">
        <v>5</v>
      </c>
      <c r="B18" s="106" t="str">
        <f>VLOOKUP(A18,Tabla1[#All],2)</f>
        <v xml:space="preserve">Marcela Arias Salas </v>
      </c>
      <c r="C18" s="106" t="str">
        <f>VLOOKUP(A18,Tabla1[#All],51)</f>
        <v>MARCELA ARIAS SALAS</v>
      </c>
      <c r="D18" s="106" t="str">
        <f>VLOOKUP(A18,Tabla1[#All],52)</f>
        <v>2-04 GRECIA</v>
      </c>
      <c r="E18" s="108">
        <f>VLOOKUP(A18,Tabla1[#All],54)</f>
        <v>9</v>
      </c>
      <c r="F18" s="108">
        <v>35</v>
      </c>
      <c r="G18" s="108">
        <f>VLOOKUP(A18,Tabla1[#All],55)</f>
        <v>9</v>
      </c>
      <c r="H18" s="108">
        <v>35</v>
      </c>
      <c r="I18" s="108" t="str">
        <f>VLOOKUP(A18,Tabla1[#All],58)</f>
        <v>BACHILLER</v>
      </c>
      <c r="J18" s="108" t="str">
        <f>VLOOKUP(A18,Tabla1[#All],59)</f>
        <v>NO</v>
      </c>
      <c r="K18" s="108" t="str">
        <f>VLOOKUP(A18,Tabla1[#All],60)</f>
        <v>NO</v>
      </c>
      <c r="L18" s="108" t="str">
        <f>VLOOKUP(A18,Tabla1[#All],61)</f>
        <v>SI</v>
      </c>
      <c r="M18" s="108">
        <v>8</v>
      </c>
      <c r="N18" s="108">
        <f t="shared" si="0"/>
        <v>78</v>
      </c>
      <c r="O18" s="107">
        <v>15</v>
      </c>
      <c r="P18" s="16">
        <f>+Tabla26[[#This Row],[Nota Total ]]+Tabla26[[#This Row],[Nota Unidades]]</f>
        <v>93</v>
      </c>
    </row>
    <row r="19" spans="1:16" x14ac:dyDescent="0.3">
      <c r="A19" s="11">
        <v>5</v>
      </c>
      <c r="B19" s="106" t="str">
        <f>VLOOKUP(A19,Tabla1[#All],2)</f>
        <v xml:space="preserve">Marcela Arias Salas </v>
      </c>
      <c r="C19" s="106" t="str">
        <f>VLOOKUP(A19,Tabla1[#All],66)</f>
        <v>ALEJANDRO ROJAS ALFARO</v>
      </c>
      <c r="D19" s="106" t="str">
        <f>VLOOKUP(A19,Tabla1[#All],67)</f>
        <v>20-04 GRECIA</v>
      </c>
      <c r="E19" s="108">
        <f>VLOOKUP(A19,Tabla1[#All],69)</f>
        <v>9</v>
      </c>
      <c r="F19" s="108">
        <v>35</v>
      </c>
      <c r="G19" s="108">
        <f>VLOOKUP(A19,Tabla1[#All],70)</f>
        <v>9</v>
      </c>
      <c r="H19" s="108">
        <v>35</v>
      </c>
      <c r="I19" s="108" t="str">
        <f>VLOOKUP(A19,Tabla1[#All],73)</f>
        <v>UNIVERSIDAD</v>
      </c>
      <c r="J19" s="108" t="str">
        <f>VLOOKUP(A19,Tabla1[#All],74)</f>
        <v>NO</v>
      </c>
      <c r="K19" s="108" t="str">
        <f>VLOOKUP(A19,Tabla1[#All],75)</f>
        <v>NO</v>
      </c>
      <c r="L19" s="108" t="str">
        <f>VLOOKUP(A19,Tabla1[#All],76)</f>
        <v>NO</v>
      </c>
      <c r="M19" s="108">
        <v>7</v>
      </c>
      <c r="N19" s="108">
        <f t="shared" si="0"/>
        <v>77</v>
      </c>
      <c r="O19" s="107">
        <v>5</v>
      </c>
      <c r="P19" s="16">
        <f>+Tabla26[[#This Row],[Nota Total ]]+Tabla26[[#This Row],[Nota Unidades]]</f>
        <v>82</v>
      </c>
    </row>
    <row r="20" spans="1:16" x14ac:dyDescent="0.3">
      <c r="A20" s="11">
        <v>5</v>
      </c>
      <c r="B20" s="106" t="str">
        <f>VLOOKUP(A20,Tabla1[#All],2)</f>
        <v xml:space="preserve">Marcela Arias Salas </v>
      </c>
      <c r="C20" s="106" t="str">
        <f>VLOOKUP(A20,Tabla1[#All],81)</f>
        <v>JONATHAN MENA ALFARO</v>
      </c>
      <c r="D20" s="106" t="str">
        <f>VLOOKUP(A20,Tabla1[#All],82)</f>
        <v>2-05 SAN RAMÓN</v>
      </c>
      <c r="E20" s="108">
        <f>VLOOKUP(A20,Tabla1[#All],84)</f>
        <v>5</v>
      </c>
      <c r="F20" s="108">
        <v>35</v>
      </c>
      <c r="G20" s="108">
        <f>VLOOKUP(A20,Tabla1[#All],85)</f>
        <v>10</v>
      </c>
      <c r="H20" s="108">
        <v>35</v>
      </c>
      <c r="I20" s="108" t="str">
        <f>VLOOKUP(A20,Tabla1[#All],88)</f>
        <v>SEXTO</v>
      </c>
      <c r="J20" s="108" t="str">
        <f>VLOOKUP(A20,Tabla1[#All],89)</f>
        <v>NO</v>
      </c>
      <c r="K20" s="108" t="str">
        <f>VLOOKUP(A20,Tabla1[#All],90)</f>
        <v>NO</v>
      </c>
      <c r="L20" s="108" t="str">
        <f>VLOOKUP(A20,Tabla1[#All],91)</f>
        <v>NO</v>
      </c>
      <c r="M20" s="108">
        <v>5</v>
      </c>
      <c r="N20" s="108">
        <f t="shared" si="0"/>
        <v>75</v>
      </c>
      <c r="O20" s="107">
        <v>5</v>
      </c>
      <c r="P20" s="16">
        <f>+Tabla26[[#This Row],[Nota Total ]]+Tabla26[[#This Row],[Nota Unidades]]</f>
        <v>80</v>
      </c>
    </row>
    <row r="21" spans="1:16" x14ac:dyDescent="0.3">
      <c r="A21" s="11">
        <v>6</v>
      </c>
      <c r="B21" s="106" t="str">
        <f>VLOOKUP(A21,Tabla1[#All],2)</f>
        <v>Edmundo Pacheco Ramírez</v>
      </c>
      <c r="C21" s="106" t="str">
        <f>VLOOKUP(A21,Tabla1[#All],36)</f>
        <v>GERARDO SABORIO MORA</v>
      </c>
      <c r="D21" s="106" t="str">
        <f>VLOOKUP(A21,Tabla1[#All],37)</f>
        <v>1-07 TIBAS</v>
      </c>
      <c r="E21" s="108" t="str">
        <f>VLOOKUP(A21,Tabla1[#All],39)</f>
        <v>8 AÑOS</v>
      </c>
      <c r="F21" s="108">
        <v>35</v>
      </c>
      <c r="G21" s="108" t="str">
        <f>VLOOKUP(A21,Tabla1[#All],40)</f>
        <v>8 AÑOS</v>
      </c>
      <c r="H21" s="108">
        <v>35</v>
      </c>
      <c r="I21" s="108" t="str">
        <f>VLOOKUP(A21,Tabla1[#All],43)</f>
        <v>BACHILLER</v>
      </c>
      <c r="J21" s="108" t="str">
        <f>VLOOKUP(A21,Tabla1[#All],44)</f>
        <v>NO</v>
      </c>
      <c r="K21" s="108" t="str">
        <f>VLOOKUP(A21,Tabla1[#All],45)</f>
        <v>NO</v>
      </c>
      <c r="L21" s="108" t="str">
        <f>VLOOKUP(A21,Tabla1[#All],46)</f>
        <v>SI</v>
      </c>
      <c r="M21" s="108">
        <v>8</v>
      </c>
      <c r="N21" s="108">
        <f t="shared" si="0"/>
        <v>78</v>
      </c>
      <c r="O21" s="107">
        <v>10</v>
      </c>
      <c r="P21" s="16">
        <f>+Tabla26[[#This Row],[Nota Total ]]+Tabla26[[#This Row],[Nota Unidades]]</f>
        <v>88</v>
      </c>
    </row>
    <row r="22" spans="1:16" x14ac:dyDescent="0.3">
      <c r="A22" s="11">
        <v>6</v>
      </c>
      <c r="B22" s="106" t="str">
        <f>VLOOKUP(A22,Tabla1[#All],2)</f>
        <v>Edmundo Pacheco Ramírez</v>
      </c>
      <c r="C22" s="106" t="str">
        <f>VLOOKUP(A22,Tabla1[#All],51)</f>
        <v>BRYAN VARGAS ULLOA</v>
      </c>
      <c r="D22" s="106" t="str">
        <f>VLOOKUP(A22,Tabla1[#All],52)</f>
        <v>1-07 TIBAS</v>
      </c>
      <c r="E22" s="108" t="str">
        <f>VLOOKUP(A22,Tabla1[#All],54)</f>
        <v>7 AÑOS</v>
      </c>
      <c r="F22" s="108">
        <v>35</v>
      </c>
      <c r="G22" s="108" t="str">
        <f>VLOOKUP(A22,Tabla1[#All],55)</f>
        <v>7 AÑOS</v>
      </c>
      <c r="H22" s="108">
        <v>35</v>
      </c>
      <c r="I22" s="108" t="str">
        <f>VLOOKUP(A22,Tabla1[#All],58)</f>
        <v>BACHILLER</v>
      </c>
      <c r="J22" s="108" t="str">
        <f>VLOOKUP(A22,Tabla1[#All],59)</f>
        <v>SI</v>
      </c>
      <c r="K22" s="108" t="str">
        <f>VLOOKUP(A22,Tabla1[#All],60)</f>
        <v>NO</v>
      </c>
      <c r="L22" s="108" t="str">
        <f>VLOOKUP(A22,Tabla1[#All],61)</f>
        <v>NO</v>
      </c>
      <c r="M22" s="108">
        <v>8</v>
      </c>
      <c r="N22" s="108">
        <f t="shared" si="0"/>
        <v>78</v>
      </c>
      <c r="O22" s="107">
        <v>5</v>
      </c>
      <c r="P22" s="16">
        <f>+Tabla26[[#This Row],[Nota Total ]]+Tabla26[[#This Row],[Nota Unidades]]</f>
        <v>83</v>
      </c>
    </row>
    <row r="23" spans="1:16" x14ac:dyDescent="0.3">
      <c r="A23" s="11">
        <v>6</v>
      </c>
      <c r="B23" s="106" t="str">
        <f>VLOOKUP(A23,Tabla1[#All],2)</f>
        <v>Edmundo Pacheco Ramírez</v>
      </c>
      <c r="C23" s="106" t="str">
        <f>VLOOKUP(A23,Tabla1[#All],66)</f>
        <v>EDMUNDO PACHECO RAMIREZ</v>
      </c>
      <c r="D23" s="106" t="str">
        <f>VLOOKUP(A23,Tabla1[#All],67)</f>
        <v>1-04 GUADALUPE</v>
      </c>
      <c r="E23" s="108" t="str">
        <f>VLOOKUP(A23,Tabla1[#All],69)</f>
        <v>10 AÑOS</v>
      </c>
      <c r="F23" s="108">
        <v>35</v>
      </c>
      <c r="G23" s="108" t="str">
        <f>VLOOKUP(A23,Tabla1[#All],70)</f>
        <v>10 AÑOS</v>
      </c>
      <c r="H23" s="108">
        <v>35</v>
      </c>
      <c r="I23" s="108" t="str">
        <f>VLOOKUP(A23,Tabla1[#All],73)</f>
        <v>BACHILLER</v>
      </c>
      <c r="J23" s="108" t="str">
        <f>VLOOKUP(A23,Tabla1[#All],74)</f>
        <v>NO</v>
      </c>
      <c r="K23" s="108" t="str">
        <f>VLOOKUP(A23,Tabla1[#All],75)</f>
        <v>SI</v>
      </c>
      <c r="L23" s="108" t="str">
        <f>VLOOKUP(A23,Tabla1[#All],76)</f>
        <v>NO</v>
      </c>
      <c r="M23" s="108">
        <v>8</v>
      </c>
      <c r="N23" s="108">
        <f t="shared" si="0"/>
        <v>78</v>
      </c>
      <c r="O23" s="107">
        <v>5</v>
      </c>
      <c r="P23" s="16">
        <f>+Tabla26[[#This Row],[Nota Total ]]+Tabla26[[#This Row],[Nota Unidades]]</f>
        <v>83</v>
      </c>
    </row>
    <row r="24" spans="1:16" x14ac:dyDescent="0.3">
      <c r="A24" s="11">
        <v>6</v>
      </c>
      <c r="B24" s="106" t="str">
        <f>VLOOKUP(A24,Tabla1[#All],2)</f>
        <v>Edmundo Pacheco Ramírez</v>
      </c>
      <c r="C24" s="106" t="str">
        <f>VLOOKUP(A24,Tabla1[#All],81)</f>
        <v>ANTHONY CARMONA ALVARADO</v>
      </c>
      <c r="D24" s="106" t="str">
        <f>VLOOKUP(A24,Tabla1[#All],82)</f>
        <v>1-04 GUADALUPE</v>
      </c>
      <c r="E24" s="108" t="str">
        <f>VLOOKUP(A24,Tabla1[#All],84)</f>
        <v>1 MES</v>
      </c>
      <c r="F24" s="108">
        <v>5</v>
      </c>
      <c r="G24" s="108" t="str">
        <f>VLOOKUP(A24,Tabla1[#All],85)</f>
        <v>2 MESE</v>
      </c>
      <c r="H24" s="108">
        <v>5</v>
      </c>
      <c r="I24" s="108" t="str">
        <f>VLOOKUP(A24,Tabla1[#All],88)</f>
        <v>BACHILLER</v>
      </c>
      <c r="J24" s="108" t="str">
        <f>VLOOKUP(A24,Tabla1[#All],89)</f>
        <v>NO</v>
      </c>
      <c r="K24" s="108" t="str">
        <f>VLOOKUP(A24,Tabla1[#All],90)</f>
        <v>NO</v>
      </c>
      <c r="L24" s="108" t="str">
        <f>VLOOKUP(A24,Tabla1[#All],91)</f>
        <v>NO</v>
      </c>
      <c r="M24" s="108">
        <v>7</v>
      </c>
      <c r="N24" s="108">
        <f t="shared" si="0"/>
        <v>17</v>
      </c>
      <c r="O24" s="107">
        <v>20</v>
      </c>
      <c r="P24" s="16">
        <f>+Tabla26[[#This Row],[Nota Total ]]+Tabla26[[#This Row],[Nota Unidades]]</f>
        <v>37</v>
      </c>
    </row>
    <row r="25" spans="1:16" x14ac:dyDescent="0.3">
      <c r="A25" s="27">
        <v>7</v>
      </c>
      <c r="B25" s="23" t="str">
        <f>VLOOKUP(A25,Tabla1[#All],2)</f>
        <v xml:space="preserve">Edwin Alberto Calderón Chaves </v>
      </c>
      <c r="C25" s="23" t="str">
        <f>VLOOKUP(A25,Tabla1[#All],36)</f>
        <v>ALBERTO CALDERON CHAVES</v>
      </c>
      <c r="D25" s="23" t="str">
        <f>VLOOKUP(A25,Tabla1[#All],37)</f>
        <v>4-01 BELÉN</v>
      </c>
      <c r="E25" s="20" t="str">
        <f>VLOOKUP(A25,Tabla1[#All],39)</f>
        <v>9 AÑOS</v>
      </c>
      <c r="F25" s="14">
        <v>35</v>
      </c>
      <c r="G25" s="20" t="str">
        <f>VLOOKUP(A25,Tabla1[#All],40)</f>
        <v>10 AÑOS</v>
      </c>
      <c r="H25" s="14">
        <v>35</v>
      </c>
      <c r="I25" s="14" t="str">
        <f>VLOOKUP(A25,Tabla1[#All],43)</f>
        <v>BACHILLER</v>
      </c>
      <c r="J25" s="14" t="str">
        <f>VLOOKUP(A25,Tabla1[#All],44)</f>
        <v>NO</v>
      </c>
      <c r="K25" s="14" t="str">
        <f>VLOOKUP(A25,Tabla1[#All],45)</f>
        <v>SI</v>
      </c>
      <c r="L25" s="14" t="str">
        <f>VLOOKUP(A25,Tabla1[#All],46)</f>
        <v>NO</v>
      </c>
      <c r="M25" s="14">
        <v>8</v>
      </c>
      <c r="N25" s="14">
        <f>+F25+H25+M25</f>
        <v>78</v>
      </c>
      <c r="O25" s="26">
        <v>5</v>
      </c>
      <c r="P25" s="22">
        <f>+Tabla26[[#This Row],[Nota Total ]]+Tabla26[[#This Row],[Nota Unidades]]</f>
        <v>83</v>
      </c>
    </row>
    <row r="26" spans="1:16" x14ac:dyDescent="0.3">
      <c r="A26" s="27">
        <v>7</v>
      </c>
      <c r="B26" s="23" t="str">
        <f>VLOOKUP(A26,Tabla1[#All],2)</f>
        <v xml:space="preserve">Edwin Alberto Calderón Chaves </v>
      </c>
      <c r="C26" s="23" t="str">
        <f>VLOOKUP(A26,Tabla1[#All],51)</f>
        <v>JUAN GUILLERMO BARQUERO ORTIZ</v>
      </c>
      <c r="D26" s="23" t="str">
        <f>VLOOKUP(A26,Tabla1[#All],52)</f>
        <v xml:space="preserve">4-01 BELEN </v>
      </c>
      <c r="E26" s="20" t="str">
        <f>VLOOKUP(A26,Tabla1[#All],54)</f>
        <v>7 AÑOS</v>
      </c>
      <c r="F26" s="14">
        <v>35</v>
      </c>
      <c r="G26" s="20" t="str">
        <f>VLOOKUP(A26,Tabla1[#All],55)</f>
        <v>8 AÑOS</v>
      </c>
      <c r="H26" s="14">
        <v>35</v>
      </c>
      <c r="I26" s="14" t="str">
        <f>VLOOKUP(A26,Tabla1[#All],58)</f>
        <v>NO SUBSANA</v>
      </c>
      <c r="J26" s="14" t="str">
        <f>VLOOKUP(A26,Tabla1[#All],59)</f>
        <v>NO</v>
      </c>
      <c r="K26" s="14" t="str">
        <f>VLOOKUP(A26,Tabla1[#All],60)</f>
        <v>NO</v>
      </c>
      <c r="L26" s="14" t="str">
        <f>VLOOKUP(A26,Tabla1[#All],61)</f>
        <v>SI</v>
      </c>
      <c r="M26" s="14">
        <v>1</v>
      </c>
      <c r="N26" s="14">
        <f t="shared" si="0"/>
        <v>71</v>
      </c>
      <c r="O26" s="26">
        <v>0</v>
      </c>
      <c r="P26" s="22">
        <f>+Tabla26[[#This Row],[Nota Total ]]+Tabla26[[#This Row],[Nota Unidades]]</f>
        <v>71</v>
      </c>
    </row>
    <row r="27" spans="1:16" x14ac:dyDescent="0.3">
      <c r="A27" s="11">
        <v>8</v>
      </c>
      <c r="B27" s="106" t="str">
        <f>VLOOKUP(A27,Tabla1[#All],2)</f>
        <v xml:space="preserve">Jorge Alberto Rodríguez Villalobos </v>
      </c>
      <c r="C27" s="106" t="str">
        <f>VLOOKUP(A27,Tabla1[#All],36)</f>
        <v>JORGE RODRIGUEZ VILLALOBOS</v>
      </c>
      <c r="D27" s="106" t="str">
        <f>VLOOKUP(A27,Tabla1[#All],37)</f>
        <v>5-06 PENINSULA</v>
      </c>
      <c r="E27" s="109" t="str">
        <f>VLOOKUP(A27,Tabla1[#All],39)</f>
        <v>7 AÑOS</v>
      </c>
      <c r="F27" s="108">
        <v>35</v>
      </c>
      <c r="G27" s="109" t="str">
        <f>VLOOKUP(A27,Tabla1[#All],40)</f>
        <v>7 AÑOS</v>
      </c>
      <c r="H27" s="108">
        <v>35</v>
      </c>
      <c r="I27" s="108" t="str">
        <f>VLOOKUP(A27,Tabla1[#All],43)</f>
        <v>NOVENO</v>
      </c>
      <c r="J27" s="108" t="str">
        <f>VLOOKUP(A27,Tabla1[#All],44)</f>
        <v>NO</v>
      </c>
      <c r="K27" s="108" t="str">
        <f>VLOOKUP(A27,Tabla1[#All],45)</f>
        <v>NO</v>
      </c>
      <c r="L27" s="108" t="str">
        <f>VLOOKUP(A27,Tabla1[#All],46)</f>
        <v>NO</v>
      </c>
      <c r="M27" s="108">
        <v>6</v>
      </c>
      <c r="N27" s="108">
        <f t="shared" si="0"/>
        <v>76</v>
      </c>
      <c r="O27" s="107">
        <v>5</v>
      </c>
      <c r="P27" s="16">
        <f>+Tabla26[[#This Row],[Nota Total ]]+Tabla26[[#This Row],[Nota Unidades]]</f>
        <v>81</v>
      </c>
    </row>
    <row r="28" spans="1:16" x14ac:dyDescent="0.3">
      <c r="A28" s="11">
        <v>9</v>
      </c>
      <c r="B28" s="106" t="str">
        <f>VLOOKUP(A28,Tabla1[#All],2)</f>
        <v xml:space="preserve">Luis Andriani Orozco Rodríguez </v>
      </c>
      <c r="C28" s="102" t="str">
        <f>VLOOKUP(A28,Tabla1[#All],36)</f>
        <v>CRISTIAN OROZCO RODRIGUEZ</v>
      </c>
      <c r="D28" s="102" t="str">
        <f>VLOOKUP(A28,Tabla1[#All],37)</f>
        <v>2-01 ALAJUELA</v>
      </c>
      <c r="E28" s="104" t="str">
        <f>VLOOKUP(A28,Tabla1[#All],39)</f>
        <v>6,7 AÑOS</v>
      </c>
      <c r="F28" s="104">
        <v>35</v>
      </c>
      <c r="G28" s="104" t="str">
        <f>VLOOKUP(A28,Tabla1[#All],40)</f>
        <v>6,7 AÑOS</v>
      </c>
      <c r="H28" s="104">
        <v>35</v>
      </c>
      <c r="I28" s="104" t="str">
        <f>VLOOKUP(A28,Tabla1[#All],43)</f>
        <v>NOVENO</v>
      </c>
      <c r="J28" s="104" t="str">
        <f>VLOOKUP(A28,Tabla1[#All],44)</f>
        <v>NO</v>
      </c>
      <c r="K28" s="104" t="str">
        <f>VLOOKUP(A28,Tabla1[#All],45)</f>
        <v>NO</v>
      </c>
      <c r="L28" s="104" t="str">
        <f>VLOOKUP(A28,Tabla1[#All],46)</f>
        <v>NO</v>
      </c>
      <c r="M28" s="104">
        <v>6</v>
      </c>
      <c r="N28" s="104">
        <f t="shared" si="0"/>
        <v>76</v>
      </c>
      <c r="O28" s="107">
        <v>0</v>
      </c>
      <c r="P28" s="16">
        <f>+Tabla26[[#This Row],[Nota Total ]]+Tabla26[[#This Row],[Nota Unidades]]</f>
        <v>76</v>
      </c>
    </row>
    <row r="29" spans="1:16" x14ac:dyDescent="0.3">
      <c r="A29" s="11">
        <v>9</v>
      </c>
      <c r="B29" s="106" t="str">
        <f>VLOOKUP(A29,Tabla1[#All],2)</f>
        <v xml:space="preserve">Luis Andriani Orozco Rodríguez </v>
      </c>
      <c r="C29" s="106" t="str">
        <f>VLOOKUP(A29,Tabla1[#All],51)</f>
        <v>JORDAN GONZALEZ ALVARADO</v>
      </c>
      <c r="D29" s="106" t="str">
        <f>VLOOKUP(A29,Tabla1[#All],52)</f>
        <v>2-01 ALAJUELA</v>
      </c>
      <c r="E29" s="108" t="str">
        <f>VLOOKUP(A29,Tabla1[#All],54)</f>
        <v>6 MESES</v>
      </c>
      <c r="F29" s="108">
        <v>15</v>
      </c>
      <c r="G29" s="108" t="str">
        <f>VLOOKUP(A29,Tabla1[#All],55)</f>
        <v>5,9 AÑOS</v>
      </c>
      <c r="H29" s="104">
        <v>35</v>
      </c>
      <c r="I29" s="108" t="str">
        <f>VLOOKUP(A29,Tabla1[#All],58)</f>
        <v>BACHILLER</v>
      </c>
      <c r="J29" s="108" t="str">
        <f>VLOOKUP(A29,Tabla1[#All],59)</f>
        <v>NO</v>
      </c>
      <c r="K29" s="108" t="str">
        <f>VLOOKUP(A29,Tabla1[#All],60)</f>
        <v>NO</v>
      </c>
      <c r="L29" s="108" t="str">
        <f>VLOOKUP(A29,Tabla1[#All],61)</f>
        <v>NO</v>
      </c>
      <c r="M29" s="108">
        <v>7</v>
      </c>
      <c r="N29" s="108">
        <f t="shared" si="0"/>
        <v>57</v>
      </c>
      <c r="O29" s="107">
        <v>5</v>
      </c>
      <c r="P29" s="16">
        <f>+Tabla26[[#This Row],[Nota Total ]]+Tabla26[[#This Row],[Nota Unidades]]</f>
        <v>62</v>
      </c>
    </row>
    <row r="30" spans="1:16" x14ac:dyDescent="0.3">
      <c r="A30" s="11">
        <v>9</v>
      </c>
      <c r="B30" s="106" t="str">
        <f>VLOOKUP(A30,Tabla1[#All],2)</f>
        <v xml:space="preserve">Luis Andriani Orozco Rodríguez </v>
      </c>
      <c r="C30" s="106" t="str">
        <f>VLOOKUP(A30,Tabla1[#All],66)</f>
        <v>KEYLOR UGALDE DÁVILA</v>
      </c>
      <c r="D30" s="106" t="str">
        <f>VLOOKUP(A30,Tabla1[#All],67)</f>
        <v>2-01 ALAJUELA</v>
      </c>
      <c r="E30" s="108">
        <f>VLOOKUP(A30,Tabla1[#All],69)</f>
        <v>3</v>
      </c>
      <c r="F30" s="108">
        <v>10</v>
      </c>
      <c r="G30" s="108" t="str">
        <f>VLOOKUP(A30,Tabla1[#All],70)</f>
        <v>4.6 AÑOS</v>
      </c>
      <c r="H30" s="104">
        <v>35</v>
      </c>
      <c r="I30" s="108" t="str">
        <f>VLOOKUP(A30,Tabla1[#All],73)</f>
        <v>BACHILLER</v>
      </c>
      <c r="J30" s="108" t="str">
        <f>VLOOKUP(A30,Tabla1[#All],74)</f>
        <v>NO</v>
      </c>
      <c r="K30" s="108" t="str">
        <f>VLOOKUP(A30,Tabla1[#All],75)</f>
        <v>NO</v>
      </c>
      <c r="L30" s="108" t="str">
        <f>VLOOKUP(A30,Tabla1[#All],76)</f>
        <v>NO</v>
      </c>
      <c r="M30" s="108">
        <v>7</v>
      </c>
      <c r="N30" s="108">
        <f t="shared" si="0"/>
        <v>52</v>
      </c>
      <c r="O30" s="107">
        <v>5</v>
      </c>
      <c r="P30" s="16">
        <f>+Tabla26[[#This Row],[Nota Total ]]+Tabla26[[#This Row],[Nota Unidades]]</f>
        <v>57</v>
      </c>
    </row>
    <row r="31" spans="1:16" x14ac:dyDescent="0.3">
      <c r="A31" s="11">
        <v>9</v>
      </c>
      <c r="B31" s="106" t="str">
        <f>VLOOKUP(A31,Tabla1[#All],2)</f>
        <v xml:space="preserve">Luis Andriani Orozco Rodríguez </v>
      </c>
      <c r="C31" s="106" t="str">
        <f>VLOOKUP(A31,Tabla1[#All],81)</f>
        <v xml:space="preserve">LUIS OROZCO RODRIGUEZ </v>
      </c>
      <c r="D31" s="106" t="str">
        <f>VLOOKUP(A31,Tabla1[#All],82)</f>
        <v>4-01 BELÉN</v>
      </c>
      <c r="E31" s="108">
        <f>VLOOKUP(A31,Tabla1[#All],84)</f>
        <v>10</v>
      </c>
      <c r="F31" s="108">
        <v>35</v>
      </c>
      <c r="G31" s="108">
        <f>VLOOKUP(A31,Tabla1[#All],85)</f>
        <v>10</v>
      </c>
      <c r="H31" s="108">
        <v>35</v>
      </c>
      <c r="I31" s="108" t="str">
        <f>VLOOKUP(A31,Tabla1[#All],88)</f>
        <v>BACHILLER</v>
      </c>
      <c r="J31" s="108" t="str">
        <f>VLOOKUP(A31,Tabla1[#All],89)</f>
        <v>NO</v>
      </c>
      <c r="K31" s="108" t="str">
        <f>VLOOKUP(A31,Tabla1[#All],90)</f>
        <v>NO</v>
      </c>
      <c r="L31" s="108" t="str">
        <f>VLOOKUP(A31,Tabla1[#All],91)</f>
        <v>NO</v>
      </c>
      <c r="M31" s="108">
        <v>7</v>
      </c>
      <c r="N31" s="108">
        <f t="shared" si="0"/>
        <v>77</v>
      </c>
      <c r="O31" s="107">
        <v>0</v>
      </c>
      <c r="P31" s="16">
        <f>+Tabla26[[#This Row],[Nota Total ]]+Tabla26[[#This Row],[Nota Unidades]]</f>
        <v>77</v>
      </c>
    </row>
    <row r="32" spans="1:16" x14ac:dyDescent="0.3">
      <c r="A32" s="11">
        <v>9</v>
      </c>
      <c r="B32" s="106" t="str">
        <f>VLOOKUP(A32,Tabla1[#All],2)</f>
        <v xml:space="preserve">Luis Andriani Orozco Rodríguez </v>
      </c>
      <c r="C32" s="106" t="str">
        <f>VLOOKUP(A32,Tabla1[#All],96)</f>
        <v>JEFRY ROJAS OVIEDO</v>
      </c>
      <c r="D32" s="106" t="str">
        <f>VLOOKUP(A32,Tabla1[#All],97)</f>
        <v>4-01 BELÉN</v>
      </c>
      <c r="E32" s="108">
        <f>VLOOKUP(A32,Tabla1[#All],99)</f>
        <v>1</v>
      </c>
      <c r="F32" s="108">
        <v>25</v>
      </c>
      <c r="G32" s="108">
        <f>VLOOKUP(A32,Tabla1[#All],100)</f>
        <v>7</v>
      </c>
      <c r="H32" s="108">
        <v>35</v>
      </c>
      <c r="I32" s="108" t="str">
        <f>VLOOKUP(A32,Tabla1[#All],103)</f>
        <v>BACHILLER</v>
      </c>
      <c r="J32" s="108" t="str">
        <f>VLOOKUP(A32,Tabla1[#All],104)</f>
        <v>NO</v>
      </c>
      <c r="K32" s="108" t="str">
        <f>VLOOKUP(A32,Tabla1[#All],105)</f>
        <v>NO</v>
      </c>
      <c r="L32" s="108" t="str">
        <f>VLOOKUP(A32,Tabla1[#All],106)</f>
        <v>SI</v>
      </c>
      <c r="M32" s="108">
        <v>8</v>
      </c>
      <c r="N32" s="108">
        <f t="shared" si="0"/>
        <v>68</v>
      </c>
      <c r="O32" s="107">
        <v>20</v>
      </c>
      <c r="P32" s="16">
        <f>+Tabla26[[#This Row],[Nota Total ]]+Tabla26[[#This Row],[Nota Unidades]]</f>
        <v>88</v>
      </c>
    </row>
    <row r="33" spans="1:16" x14ac:dyDescent="0.3">
      <c r="A33" s="11">
        <v>9</v>
      </c>
      <c r="B33" s="106" t="str">
        <f>VLOOKUP(A33,Tabla1[#All],2)</f>
        <v xml:space="preserve">Luis Andriani Orozco Rodríguez </v>
      </c>
      <c r="C33" s="106" t="str">
        <f>VLOOKUP(A33,Tabla1[#All],111)</f>
        <v>JAYSON OBREDO ARROYO</v>
      </c>
      <c r="D33" s="106" t="str">
        <f>VLOOKUP(A33,Tabla1[#All],112)</f>
        <v>4-02 HEREDIA</v>
      </c>
      <c r="E33" s="108">
        <f>VLOOKUP(A33,Tabla1[#All],114)</f>
        <v>2</v>
      </c>
      <c r="F33" s="108">
        <v>35</v>
      </c>
      <c r="G33" s="108" t="str">
        <f>VLOOKUP(A33,Tabla1[#All],115)</f>
        <v>3,4 AÑOS</v>
      </c>
      <c r="H33" s="108">
        <v>25</v>
      </c>
      <c r="I33" s="108" t="str">
        <f>VLOOKUP(A33,Tabla1[#All],118)</f>
        <v>SEXTO</v>
      </c>
      <c r="J33" s="108" t="str">
        <f>VLOOKUP(A33,Tabla1[#All],119)</f>
        <v>NO</v>
      </c>
      <c r="K33" s="108" t="str">
        <f>VLOOKUP(A33,Tabla1[#All],120)</f>
        <v>NO</v>
      </c>
      <c r="L33" s="108" t="str">
        <f>VLOOKUP(A33,Tabla1[#All],121)</f>
        <v>NO</v>
      </c>
      <c r="M33" s="108">
        <v>5</v>
      </c>
      <c r="N33" s="108">
        <f t="shared" si="0"/>
        <v>65</v>
      </c>
      <c r="O33" s="107">
        <v>5</v>
      </c>
      <c r="P33" s="16">
        <f>+Tabla26[[#This Row],[Nota Total ]]+Tabla26[[#This Row],[Nota Unidades]]</f>
        <v>70</v>
      </c>
    </row>
    <row r="34" spans="1:16" x14ac:dyDescent="0.3">
      <c r="A34" s="11">
        <v>9</v>
      </c>
      <c r="B34" s="106" t="str">
        <f>VLOOKUP(A34,Tabla1[#All],2)</f>
        <v xml:space="preserve">Luis Andriani Orozco Rodríguez </v>
      </c>
      <c r="C34" s="106" t="str">
        <f>VLOOKUP(A34,Tabla1[#All],126)</f>
        <v>MAYKEL RODRIGUEZ LOPEZ</v>
      </c>
      <c r="D34" s="106" t="str">
        <f>VLOOKUP(A34,Tabla1[#All],127)</f>
        <v>4-02 HEREDIA</v>
      </c>
      <c r="E34" s="108" t="str">
        <f>VLOOKUP(A34,Tabla1[#All],129)</f>
        <v>0.4 AÑOS</v>
      </c>
      <c r="F34" s="108">
        <v>5</v>
      </c>
      <c r="G34" s="108">
        <f>VLOOKUP(A34,Tabla1[#All],130)</f>
        <v>8</v>
      </c>
      <c r="H34" s="108">
        <v>35</v>
      </c>
      <c r="I34" s="108" t="str">
        <f>VLOOKUP(A34,Tabla1[#All],133)</f>
        <v>NOVENO</v>
      </c>
      <c r="J34" s="108" t="str">
        <f>VLOOKUP(A34,Tabla1[#All],134)</f>
        <v>NO</v>
      </c>
      <c r="K34" s="108" t="str">
        <f>VLOOKUP(A34,Tabla1[#All],135)</f>
        <v>NO</v>
      </c>
      <c r="L34" s="108" t="str">
        <f>VLOOKUP(A34,Tabla1[#All],136)</f>
        <v>NO</v>
      </c>
      <c r="M34" s="108">
        <v>6</v>
      </c>
      <c r="N34" s="108">
        <f t="shared" ref="N34:N62" si="1">+F34+H34+M34</f>
        <v>46</v>
      </c>
      <c r="O34" s="107">
        <v>10</v>
      </c>
      <c r="P34" s="16">
        <f>+Tabla26[[#This Row],[Nota Total ]]+Tabla26[[#This Row],[Nota Unidades]]</f>
        <v>56</v>
      </c>
    </row>
    <row r="35" spans="1:16" x14ac:dyDescent="0.3">
      <c r="A35" s="11">
        <v>9</v>
      </c>
      <c r="B35" s="106" t="str">
        <f>VLOOKUP(A35,Tabla1[#All],2)</f>
        <v xml:space="preserve">Luis Andriani Orozco Rodríguez </v>
      </c>
      <c r="C35" s="106" t="str">
        <f>VLOOKUP(A35,Tabla1[#All],141)</f>
        <v>RANDALL VARGAS RODRIGUEZ</v>
      </c>
      <c r="D35" s="106" t="str">
        <f>VLOOKUP(A35,Tabla1[#All],142)</f>
        <v>4-02 HEREDIA</v>
      </c>
      <c r="E35" s="108" t="str">
        <f>VLOOKUP(A35,Tabla1[#All],144)</f>
        <v>0,8 AÑOS</v>
      </c>
      <c r="F35" s="108">
        <v>15</v>
      </c>
      <c r="G35" s="108">
        <f>VLOOKUP(A35,Tabla1[#All],145)</f>
        <v>1</v>
      </c>
      <c r="H35" s="108">
        <v>20</v>
      </c>
      <c r="I35" s="108" t="str">
        <f>VLOOKUP(A35,Tabla1[#All],148)</f>
        <v>BACHILLER</v>
      </c>
      <c r="J35" s="108" t="str">
        <f>VLOOKUP(A35,Tabla1[#All],149)</f>
        <v>NO</v>
      </c>
      <c r="K35" s="108" t="str">
        <f>VLOOKUP(A35,Tabla1[#All],150)</f>
        <v>NO</v>
      </c>
      <c r="L35" s="108" t="str">
        <f>VLOOKUP(A35,Tabla1[#All],151)</f>
        <v>NO</v>
      </c>
      <c r="M35" s="108">
        <v>7</v>
      </c>
      <c r="N35" s="108">
        <f t="shared" si="1"/>
        <v>42</v>
      </c>
      <c r="O35" s="107">
        <v>5</v>
      </c>
      <c r="P35" s="16">
        <f>+Tabla26[[#This Row],[Nota Total ]]+Tabla26[[#This Row],[Nota Unidades]]</f>
        <v>47</v>
      </c>
    </row>
    <row r="36" spans="1:16" x14ac:dyDescent="0.3">
      <c r="A36" s="11">
        <v>10</v>
      </c>
      <c r="B36" s="106" t="str">
        <f>VLOOKUP(A36,Tabla1[#All],2)</f>
        <v>Carlos Sanders Ávila</v>
      </c>
      <c r="C36" s="106" t="str">
        <f>VLOOKUP(A36,Tabla1[#All],36)</f>
        <v>LUIS ORDOÑEZ ESPINOZA</v>
      </c>
      <c r="D36" s="106" t="str">
        <f>VLOOKUP(A36,Tabla1[#All],37)</f>
        <v>7-01 LIMON</v>
      </c>
      <c r="E36" s="108">
        <f>VLOOKUP(A36,Tabla1[#All],39)</f>
        <v>0</v>
      </c>
      <c r="F36" s="108">
        <v>5</v>
      </c>
      <c r="G36" s="108" t="str">
        <f>VLOOKUP(A36,Tabla1[#All],40)</f>
        <v>5 AÑOS</v>
      </c>
      <c r="H36" s="108">
        <v>35</v>
      </c>
      <c r="I36" s="108" t="str">
        <f>VLOOKUP(A36,Tabla1[#All],43)</f>
        <v>SEXTO</v>
      </c>
      <c r="J36" s="108" t="str">
        <f>VLOOKUP(A36,Tabla1[#All],44)</f>
        <v>NO</v>
      </c>
      <c r="K36" s="108" t="str">
        <f>VLOOKUP(A36,Tabla1[#All],45)</f>
        <v>NO</v>
      </c>
      <c r="L36" s="108" t="str">
        <f>VLOOKUP(A36,Tabla1[#All],46)</f>
        <v>NO</v>
      </c>
      <c r="M36" s="108">
        <v>5</v>
      </c>
      <c r="N36" s="108">
        <f t="shared" si="1"/>
        <v>45</v>
      </c>
      <c r="O36" s="107">
        <v>20</v>
      </c>
      <c r="P36" s="16">
        <f>+Tabla26[[#This Row],[Nota Total ]]+Tabla26[[#This Row],[Nota Unidades]]</f>
        <v>65</v>
      </c>
    </row>
    <row r="37" spans="1:16" x14ac:dyDescent="0.3">
      <c r="A37" s="11">
        <v>10</v>
      </c>
      <c r="B37" s="106" t="str">
        <f>VLOOKUP(A37,Tabla1[#All],2)</f>
        <v>Carlos Sanders Ávila</v>
      </c>
      <c r="C37" s="106" t="str">
        <f>VLOOKUP(A37,Tabla1[#All],51)</f>
        <v>OSCAR GUTIERREZ MARTINEZ</v>
      </c>
      <c r="D37" s="106" t="str">
        <f>VLOOKUP(A37,Tabla1[#All],52)</f>
        <v>7-01 LIMON</v>
      </c>
      <c r="E37" s="108" t="str">
        <f>VLOOKUP(A37,Tabla1[#All],54)</f>
        <v>5 AÑOS</v>
      </c>
      <c r="F37" s="108">
        <v>35</v>
      </c>
      <c r="G37" s="108" t="str">
        <f>VLOOKUP(A37,Tabla1[#All],55)</f>
        <v>15 AÑOS</v>
      </c>
      <c r="H37" s="108">
        <v>35</v>
      </c>
      <c r="I37" s="108" t="str">
        <f>VLOOKUP(A37,Tabla1[#All],58)</f>
        <v>SEXTO</v>
      </c>
      <c r="J37" s="108" t="str">
        <f>VLOOKUP(A37,Tabla1[#All],59)</f>
        <v>NO</v>
      </c>
      <c r="K37" s="108" t="str">
        <f>VLOOKUP(A37,Tabla1[#All],60)</f>
        <v>NO</v>
      </c>
      <c r="L37" s="108" t="str">
        <f>VLOOKUP(A37,Tabla1[#All],61)</f>
        <v>NO</v>
      </c>
      <c r="M37" s="108">
        <v>5</v>
      </c>
      <c r="N37" s="108">
        <f t="shared" si="1"/>
        <v>75</v>
      </c>
      <c r="O37" s="107">
        <v>15</v>
      </c>
      <c r="P37" s="16">
        <f>+Tabla26[[#This Row],[Nota Total ]]+Tabla26[[#This Row],[Nota Unidades]]</f>
        <v>90</v>
      </c>
    </row>
    <row r="38" spans="1:16" x14ac:dyDescent="0.3">
      <c r="A38" s="11">
        <v>10</v>
      </c>
      <c r="B38" s="106" t="str">
        <f>VLOOKUP(A38,Tabla1[#All],2)</f>
        <v>Carlos Sanders Ávila</v>
      </c>
      <c r="C38" s="106" t="str">
        <f>VLOOKUP(A38,Tabla1[#All],66)</f>
        <v>GEOVANNY SALAZAR ALVARADO</v>
      </c>
      <c r="D38" s="106" t="str">
        <f>VLOOKUP(A38,Tabla1[#All],67)</f>
        <v>7-02  GUAPILES</v>
      </c>
      <c r="E38" s="108" t="str">
        <f>VLOOKUP(A38,Tabla1[#All],69)</f>
        <v>5 AÑOS</v>
      </c>
      <c r="F38" s="108">
        <v>35</v>
      </c>
      <c r="G38" s="108" t="str">
        <f>VLOOKUP(A38,Tabla1[#All],70)</f>
        <v>11 AÑOS</v>
      </c>
      <c r="H38" s="108">
        <v>35</v>
      </c>
      <c r="I38" s="108" t="str">
        <f>VLOOKUP(A38,Tabla1[#All],73)</f>
        <v>SEXTO</v>
      </c>
      <c r="J38" s="108" t="str">
        <f>VLOOKUP(A38,Tabla1[#All],74)</f>
        <v>NO</v>
      </c>
      <c r="K38" s="108" t="str">
        <f>VLOOKUP(A38,Tabla1[#All],75)</f>
        <v>NO</v>
      </c>
      <c r="L38" s="108" t="str">
        <f>VLOOKUP(A38,Tabla1[#All],76)</f>
        <v>NO</v>
      </c>
      <c r="M38" s="108">
        <v>5</v>
      </c>
      <c r="N38" s="108">
        <f t="shared" si="1"/>
        <v>75</v>
      </c>
      <c r="O38" s="107">
        <v>0</v>
      </c>
      <c r="P38" s="16">
        <f>+Tabla26[[#This Row],[Nota Total ]]+Tabla26[[#This Row],[Nota Unidades]]</f>
        <v>75</v>
      </c>
    </row>
    <row r="39" spans="1:16" x14ac:dyDescent="0.3">
      <c r="A39" s="11">
        <v>10</v>
      </c>
      <c r="B39" s="106" t="str">
        <f>VLOOKUP(A39,Tabla1[#All],2)</f>
        <v>Carlos Sanders Ávila</v>
      </c>
      <c r="C39" s="106" t="str">
        <f>VLOOKUP(A39,Tabla1[#All],81)</f>
        <v>RAZIEL JESUS AGUILAR ARAYA</v>
      </c>
      <c r="D39" s="106" t="str">
        <f>VLOOKUP(A39,Tabla1[#All],82)</f>
        <v>7-02 GUAPILES</v>
      </c>
      <c r="E39" s="108">
        <f>VLOOKUP(A39,Tabla1[#All],84)</f>
        <v>2</v>
      </c>
      <c r="F39" s="108">
        <v>35</v>
      </c>
      <c r="G39" s="108">
        <f>VLOOKUP(A39,Tabla1[#All],85)</f>
        <v>15</v>
      </c>
      <c r="H39" s="108">
        <v>35</v>
      </c>
      <c r="I39" s="108" t="str">
        <f>VLOOKUP(A39,Tabla1[#All],88)</f>
        <v>BACHILLER</v>
      </c>
      <c r="J39" s="108" t="str">
        <f>VLOOKUP(A39,Tabla1[#All],89)</f>
        <v>NO</v>
      </c>
      <c r="K39" s="108" t="str">
        <f>VLOOKUP(A39,Tabla1[#All],90)</f>
        <v>NO</v>
      </c>
      <c r="L39" s="108" t="str">
        <f>VLOOKUP(A39,Tabla1[#All],91)</f>
        <v>NO</v>
      </c>
      <c r="M39" s="108">
        <v>7</v>
      </c>
      <c r="N39" s="108">
        <f t="shared" si="1"/>
        <v>77</v>
      </c>
      <c r="O39" s="105">
        <v>15</v>
      </c>
      <c r="P39" s="16">
        <f>+Tabla26[[#This Row],[Nota Total ]]+Tabla26[[#This Row],[Nota Unidades]]</f>
        <v>92</v>
      </c>
    </row>
    <row r="40" spans="1:16" x14ac:dyDescent="0.3">
      <c r="A40" s="11">
        <v>10</v>
      </c>
      <c r="B40" s="106" t="str">
        <f>VLOOKUP(A40,Tabla1[#All],2)</f>
        <v>Carlos Sanders Ávila</v>
      </c>
      <c r="C40" s="106" t="str">
        <f>VLOOKUP(A40,Tabla1[#All],96)</f>
        <v>WILSON PORRAS ROJAS</v>
      </c>
      <c r="D40" s="106" t="str">
        <f>VLOOKUP(A40,Tabla1[#All],97)</f>
        <v>7-02 GUAPILES</v>
      </c>
      <c r="E40" s="108">
        <f>VLOOKUP(A40,Tabla1[#All],99)</f>
        <v>7</v>
      </c>
      <c r="F40" s="108">
        <v>35</v>
      </c>
      <c r="G40" s="108">
        <f>VLOOKUP(A40,Tabla1[#All],100)</f>
        <v>12</v>
      </c>
      <c r="H40" s="108">
        <v>35</v>
      </c>
      <c r="I40" s="108" t="str">
        <f>VLOOKUP(A40,Tabla1[#All],103)</f>
        <v>SEXTO</v>
      </c>
      <c r="J40" s="108" t="str">
        <f>VLOOKUP(A40,Tabla1[#All],104)</f>
        <v>NO</v>
      </c>
      <c r="K40" s="108" t="str">
        <f>VLOOKUP(A40,Tabla1[#All],105)</f>
        <v>NO</v>
      </c>
      <c r="L40" s="108" t="str">
        <f>VLOOKUP(A40,Tabla1[#All],106)</f>
        <v>NO</v>
      </c>
      <c r="M40" s="108">
        <v>5</v>
      </c>
      <c r="N40" s="108">
        <f t="shared" si="1"/>
        <v>75</v>
      </c>
      <c r="O40" s="105">
        <v>20</v>
      </c>
      <c r="P40" s="16">
        <f>+Tabla26[[#This Row],[Nota Total ]]+Tabla26[[#This Row],[Nota Unidades]]</f>
        <v>95</v>
      </c>
    </row>
    <row r="41" spans="1:16" x14ac:dyDescent="0.3">
      <c r="A41" s="11">
        <v>11</v>
      </c>
      <c r="B41" s="106" t="str">
        <f>VLOOKUP(A41,Tabla1[#All],2)</f>
        <v>Alana Melinda Méndez Cerdas</v>
      </c>
      <c r="C41" s="102" t="str">
        <f>VLOOKUP(A41,Tabla1[#All],36)</f>
        <v>ALANA MENDEZ CERDAS</v>
      </c>
      <c r="D41" s="102" t="str">
        <f>VLOOKUP(A41,Tabla1[#All],37)</f>
        <v>6-01 PARRITA</v>
      </c>
      <c r="E41" s="104" t="str">
        <f>VLOOKUP(A41,Tabla1[#All],39)</f>
        <v>2 AÑOS</v>
      </c>
      <c r="F41" s="104">
        <v>35</v>
      </c>
      <c r="G41" s="104" t="str">
        <f>VLOOKUP(A41,Tabla1[#All],40)</f>
        <v>4 AÑOS</v>
      </c>
      <c r="H41" s="104">
        <v>35</v>
      </c>
      <c r="I41" s="104" t="str">
        <f>VLOOKUP(A41,Tabla1[#All],43)</f>
        <v>BACHILLER</v>
      </c>
      <c r="J41" s="104" t="str">
        <f>VLOOKUP(A41,Tabla1[#All],44)</f>
        <v>NO</v>
      </c>
      <c r="K41" s="104" t="str">
        <f>VLOOKUP(A41,Tabla1[#All],45)</f>
        <v>NO</v>
      </c>
      <c r="L41" s="104" t="str">
        <f>VLOOKUP(A41,Tabla1[#All],46)</f>
        <v>NO</v>
      </c>
      <c r="M41" s="104">
        <v>7</v>
      </c>
      <c r="N41" s="104">
        <f t="shared" si="1"/>
        <v>77</v>
      </c>
      <c r="O41" s="107">
        <v>20</v>
      </c>
      <c r="P41" s="16">
        <f>+Tabla26[[#This Row],[Nota Total ]]+Tabla26[[#This Row],[Nota Unidades]]</f>
        <v>97</v>
      </c>
    </row>
    <row r="42" spans="1:16" x14ac:dyDescent="0.3">
      <c r="A42" s="11">
        <v>11</v>
      </c>
      <c r="B42" s="106" t="str">
        <f>VLOOKUP(A42,Tabla1[#All],2)</f>
        <v>Alana Melinda Méndez Cerdas</v>
      </c>
      <c r="C42" s="106" t="str">
        <f>VLOOKUP(A42,Tabla1[#All],51)</f>
        <v>DANIEL ARIAS VARGAS</v>
      </c>
      <c r="D42" s="106" t="str">
        <f>VLOOKUP(A42,Tabla1[#All],52)</f>
        <v>6-01 PARRITA</v>
      </c>
      <c r="E42" s="108" t="str">
        <f>VLOOKUP(A42,Tabla1[#All],54)</f>
        <v>8 AÑOS</v>
      </c>
      <c r="F42" s="108">
        <v>35</v>
      </c>
      <c r="G42" s="108" t="str">
        <f>VLOOKUP(A42,Tabla1[#All],55)</f>
        <v>8 AÑOS</v>
      </c>
      <c r="H42" s="108">
        <v>35</v>
      </c>
      <c r="I42" s="108" t="str">
        <f>VLOOKUP(A42,Tabla1[#All],58)</f>
        <v>NOVENO</v>
      </c>
      <c r="J42" s="108" t="str">
        <f>VLOOKUP(A42,Tabla1[#All],59)</f>
        <v>NO</v>
      </c>
      <c r="K42" s="108" t="str">
        <f>VLOOKUP(A42,Tabla1[#All],60)</f>
        <v>NO</v>
      </c>
      <c r="L42" s="108" t="str">
        <f>VLOOKUP(A42,Tabla1[#All],61)</f>
        <v>NO</v>
      </c>
      <c r="M42" s="108">
        <v>6</v>
      </c>
      <c r="N42" s="108">
        <f t="shared" si="1"/>
        <v>76</v>
      </c>
      <c r="O42" s="107">
        <v>10</v>
      </c>
      <c r="P42" s="16">
        <f>+Tabla26[[#This Row],[Nota Total ]]+Tabla26[[#This Row],[Nota Unidades]]</f>
        <v>86</v>
      </c>
    </row>
    <row r="43" spans="1:16" x14ac:dyDescent="0.3">
      <c r="A43" s="11">
        <v>12</v>
      </c>
      <c r="B43" s="106" t="str">
        <f>VLOOKUP(A43,Tabla1[#All],2)</f>
        <v>Alexander Miguel Molina Navarro</v>
      </c>
      <c r="C43" s="102" t="str">
        <f>VLOOKUP(A43,Tabla1[#All],36)</f>
        <v>ALEXANDER MOLINA NAVARRO</v>
      </c>
      <c r="D43" s="102" t="str">
        <f>VLOOKUP(A43,Tabla1[#All],37)</f>
        <v>6-03 CIUDAD NEILY</v>
      </c>
      <c r="E43" s="104" t="str">
        <f>VLOOKUP(A43,Tabla1[#All],39)</f>
        <v>23 AÑOS</v>
      </c>
      <c r="F43" s="104">
        <v>35</v>
      </c>
      <c r="G43" s="104" t="str">
        <f>VLOOKUP(A43,Tabla1[#All],40)</f>
        <v>23 AÑOS</v>
      </c>
      <c r="H43" s="104">
        <v>35</v>
      </c>
      <c r="I43" s="104" t="str">
        <f>VLOOKUP(A43,Tabla1[#All],43)</f>
        <v>NO LO PRESENTA</v>
      </c>
      <c r="J43" s="104" t="str">
        <f>VLOOKUP(A43,Tabla1[#All],44)</f>
        <v>NO</v>
      </c>
      <c r="K43" s="104" t="str">
        <f>VLOOKUP(A43,Tabla1[#All],45)</f>
        <v>NO</v>
      </c>
      <c r="L43" s="104" t="str">
        <f>VLOOKUP(A43,Tabla1[#All],46)</f>
        <v>NO</v>
      </c>
      <c r="M43" s="104">
        <v>0</v>
      </c>
      <c r="N43" s="104">
        <f t="shared" si="1"/>
        <v>70</v>
      </c>
      <c r="O43" s="107">
        <v>0</v>
      </c>
      <c r="P43" s="16">
        <f>+Tabla26[[#This Row],[Nota Total ]]+Tabla26[[#This Row],[Nota Unidades]]</f>
        <v>70</v>
      </c>
    </row>
    <row r="44" spans="1:16" x14ac:dyDescent="0.3">
      <c r="A44" s="11">
        <v>13</v>
      </c>
      <c r="B44" s="106" t="str">
        <f>VLOOKUP(A44,Tabla1[#All],2)</f>
        <v>Alexander Yubel Umaña Mayorga</v>
      </c>
      <c r="C44" s="102" t="str">
        <f>VLOOKUP(A44,Tabla1[#All],36)</f>
        <v>ALEXANDER UMAÑA MAYORGA</v>
      </c>
      <c r="D44" s="102" t="str">
        <f>VLOOKUP(A44,Tabla1[#All],37)</f>
        <v>5-05 UPALA</v>
      </c>
      <c r="E44" s="104" t="str">
        <f>VLOOKUP(A44,Tabla1[#All],39)</f>
        <v>8 AÑOS</v>
      </c>
      <c r="F44" s="104">
        <v>35</v>
      </c>
      <c r="G44" s="104" t="str">
        <f>VLOOKUP(A44,Tabla1[#All],40)</f>
        <v>20 AÑOS</v>
      </c>
      <c r="H44" s="104">
        <v>35</v>
      </c>
      <c r="I44" s="104" t="str">
        <f>VLOOKUP(A44,Tabla1[#All],43)</f>
        <v>BACHILLER</v>
      </c>
      <c r="J44" s="104" t="str">
        <f>VLOOKUP(A44,Tabla1[#All],44)</f>
        <v>NO</v>
      </c>
      <c r="K44" s="104" t="str">
        <f>VLOOKUP(A44,Tabla1[#All],45)</f>
        <v>NO</v>
      </c>
      <c r="L44" s="104" t="str">
        <f>VLOOKUP(A44,Tabla1[#All],46)</f>
        <v>SI</v>
      </c>
      <c r="M44" s="104">
        <v>8</v>
      </c>
      <c r="N44" s="104">
        <f t="shared" si="1"/>
        <v>78</v>
      </c>
      <c r="O44" s="16">
        <v>20</v>
      </c>
      <c r="P44" s="16">
        <f>+Tabla26[[#This Row],[Nota Total ]]+Tabla26[[#This Row],[Nota Unidades]]</f>
        <v>98</v>
      </c>
    </row>
    <row r="45" spans="1:16" x14ac:dyDescent="0.3">
      <c r="A45" s="11">
        <v>13</v>
      </c>
      <c r="B45" s="106" t="str">
        <f>VLOOKUP(A45,Tabla1[#All],2)</f>
        <v>Alexander Yubel Umaña Mayorga</v>
      </c>
      <c r="C45" s="106" t="str">
        <f>VLOOKUP(A45,Tabla1[#All],51)</f>
        <v>KENNETH GONZALEZ ZAMORA</v>
      </c>
      <c r="D45" s="106" t="str">
        <f>VLOOKUP(A45,Tabla1[#All],52)</f>
        <v>5-03 CAÑAS</v>
      </c>
      <c r="E45" s="108">
        <f>VLOOKUP(A45,Tabla1[#All],54)</f>
        <v>4</v>
      </c>
      <c r="F45" s="108">
        <v>35</v>
      </c>
      <c r="G45" s="108">
        <f>VLOOKUP(A45,Tabla1[#All],55)</f>
        <v>26</v>
      </c>
      <c r="H45" s="108">
        <v>35</v>
      </c>
      <c r="I45" s="108" t="str">
        <f>VLOOKUP(A45,Tabla1[#All],58)</f>
        <v>NOVENO</v>
      </c>
      <c r="J45" s="108" t="str">
        <f>VLOOKUP(A45,Tabla1[#All],59)</f>
        <v>NO</v>
      </c>
      <c r="K45" s="108" t="str">
        <f>VLOOKUP(A45,Tabla1[#All],60)</f>
        <v>NO</v>
      </c>
      <c r="L45" s="108" t="str">
        <f>VLOOKUP(A45,Tabla1[#All],61)</f>
        <v>NO</v>
      </c>
      <c r="M45" s="108">
        <v>6</v>
      </c>
      <c r="N45" s="108">
        <f t="shared" si="1"/>
        <v>76</v>
      </c>
      <c r="O45" s="16">
        <v>10</v>
      </c>
      <c r="P45" s="16">
        <f>+Tabla26[[#This Row],[Nota Total ]]+Tabla26[[#This Row],[Nota Unidades]]</f>
        <v>86</v>
      </c>
    </row>
    <row r="46" spans="1:16" x14ac:dyDescent="0.3">
      <c r="A46" s="110">
        <v>13</v>
      </c>
      <c r="B46" s="111" t="str">
        <f>VLOOKUP(A46,Tabla1[#All],2)</f>
        <v>Alexander Yubel Umaña Mayorga</v>
      </c>
      <c r="C46" s="111" t="str">
        <f>VLOOKUP(A46,Tabla1[#All],66)</f>
        <v>Henry Gómez Montero</v>
      </c>
      <c r="D46" s="111" t="str">
        <f>VLOOKUP(A46,Tabla1[#All],67)</f>
        <v xml:space="preserve">5-01 LIBERIA </v>
      </c>
      <c r="E46" s="112" t="str">
        <f>VLOOKUP(A46,Tabla1[#All],69)</f>
        <v>SUBSANAR</v>
      </c>
      <c r="F46" s="112">
        <v>0</v>
      </c>
      <c r="G46" s="112" t="str">
        <f>VLOOKUP(A46,Tabla1[#All],70)</f>
        <v>SUBSANAR</v>
      </c>
      <c r="H46" s="112">
        <v>0</v>
      </c>
      <c r="I46" s="112" t="str">
        <f>VLOOKUP(A46,Tabla1[#All],73)</f>
        <v>SUBSANAR</v>
      </c>
      <c r="J46" s="112" t="str">
        <f>VLOOKUP(A46,Tabla1[#All],74)</f>
        <v>N/A</v>
      </c>
      <c r="K46" s="112" t="str">
        <f>VLOOKUP(A46,Tabla1[#All],75)</f>
        <v>N/A</v>
      </c>
      <c r="L46" s="112" t="str">
        <f>VLOOKUP(A46,Tabla1[#All],76)</f>
        <v>N/A</v>
      </c>
      <c r="M46" s="112">
        <v>0</v>
      </c>
      <c r="N46" s="112">
        <f t="shared" si="1"/>
        <v>0</v>
      </c>
      <c r="O46" s="113">
        <v>15</v>
      </c>
      <c r="P46" s="113">
        <f>+Tabla26[[#This Row],[Nota Total ]]+Tabla26[[#This Row],[Nota Unidades]]</f>
        <v>15</v>
      </c>
    </row>
    <row r="47" spans="1:16" x14ac:dyDescent="0.3">
      <c r="A47" s="110">
        <v>13</v>
      </c>
      <c r="B47" s="111" t="str">
        <f>VLOOKUP(A47,Tabla1[#All],2)</f>
        <v>Alexander Yubel Umaña Mayorga</v>
      </c>
      <c r="C47" s="111" t="str">
        <f>VLOOKUP(A47,Tabla1[#All],81)</f>
        <v xml:space="preserve">Henry Gómez Corea </v>
      </c>
      <c r="D47" s="111" t="str">
        <f>VLOOKUP(A47,Tabla1[#All],82)</f>
        <v>5-01 LIBERIA</v>
      </c>
      <c r="E47" s="112" t="str">
        <f>VLOOKUP(A47,Tabla1[#All],84)</f>
        <v>SUBSANAR</v>
      </c>
      <c r="F47" s="112">
        <v>0</v>
      </c>
      <c r="G47" s="112" t="str">
        <f>VLOOKUP(A47,Tabla1[#All],85)</f>
        <v>SUBSANAR</v>
      </c>
      <c r="H47" s="112">
        <v>0</v>
      </c>
      <c r="I47" s="112" t="str">
        <f>VLOOKUP(A47,Tabla1[#All],88)</f>
        <v>SEXTO</v>
      </c>
      <c r="J47" s="112" t="str">
        <f>VLOOKUP(A47,Tabla1[#All],89)</f>
        <v>N/A</v>
      </c>
      <c r="K47" s="112" t="str">
        <f>VLOOKUP(A47,Tabla1[#All],90)</f>
        <v>N/A</v>
      </c>
      <c r="L47" s="112" t="str">
        <f>VLOOKUP(A47,Tabla1[#All],91)</f>
        <v>N/A</v>
      </c>
      <c r="M47" s="112">
        <v>5</v>
      </c>
      <c r="N47" s="112">
        <f t="shared" si="1"/>
        <v>5</v>
      </c>
      <c r="O47" s="113">
        <v>20</v>
      </c>
      <c r="P47" s="113">
        <f>+Tabla26[[#This Row],[Nota Total ]]+Tabla26[[#This Row],[Nota Unidades]]</f>
        <v>25</v>
      </c>
    </row>
    <row r="48" spans="1:16" x14ac:dyDescent="0.3">
      <c r="A48" s="11">
        <v>14</v>
      </c>
      <c r="B48" s="106" t="str">
        <f>VLOOKUP(A48,Tabla1[#All],2)</f>
        <v xml:space="preserve">Leda María Chacón González </v>
      </c>
      <c r="C48" s="102" t="str">
        <f>VLOOKUP(A48,Tabla1[#All],36)</f>
        <v>JOSE FRANCISCO TENORIO INFANTE</v>
      </c>
      <c r="D48" s="102" t="str">
        <f>VLOOKUP(A48,Tabla1[#All],37)</f>
        <v>1-08 PEREZ ZELEDON</v>
      </c>
      <c r="E48" s="104" t="str">
        <f>VLOOKUP(A48,Tabla1[#All],39)</f>
        <v>3 MESES</v>
      </c>
      <c r="F48" s="104">
        <v>10</v>
      </c>
      <c r="G48" s="104" t="str">
        <f>VLOOKUP(A48,Tabla1[#All],40)</f>
        <v>8 AÑOS</v>
      </c>
      <c r="H48" s="104">
        <v>35</v>
      </c>
      <c r="I48" s="104" t="str">
        <f>VLOOKUP(A48,Tabla1[#All],43)</f>
        <v>NOVENO</v>
      </c>
      <c r="J48" s="104" t="str">
        <f>VLOOKUP(A48,Tabla1[#All],44)</f>
        <v>NO</v>
      </c>
      <c r="K48" s="104" t="str">
        <f>VLOOKUP(A48,Tabla1[#All],45)</f>
        <v>NO</v>
      </c>
      <c r="L48" s="104" t="str">
        <f>VLOOKUP(A48,Tabla1[#All],46)</f>
        <v>NO</v>
      </c>
      <c r="M48" s="104">
        <v>6</v>
      </c>
      <c r="N48" s="104">
        <f t="shared" si="1"/>
        <v>51</v>
      </c>
      <c r="O48" s="107">
        <v>15</v>
      </c>
      <c r="P48" s="16">
        <f>+Tabla26[[#This Row],[Nota Total ]]+Tabla26[[#This Row],[Nota Unidades]]</f>
        <v>66</v>
      </c>
    </row>
    <row r="49" spans="1:16" x14ac:dyDescent="0.3">
      <c r="A49" s="11">
        <v>14</v>
      </c>
      <c r="B49" s="106" t="str">
        <f>VLOOKUP(A49,Tabla1[#All],2)</f>
        <v xml:space="preserve">Leda María Chacón González </v>
      </c>
      <c r="C49" s="106" t="str">
        <f>VLOOKUP(A49,Tabla1[#All],51)</f>
        <v>LEDA CHACON GONZALES</v>
      </c>
      <c r="D49" s="106" t="str">
        <f>VLOOKUP(A49,Tabla1[#All],52)</f>
        <v>1-08 PEREZ ZELEDON</v>
      </c>
      <c r="E49" s="108" t="str">
        <f>VLOOKUP(A49,Tabla1[#All],54)</f>
        <v>6 AÑOS</v>
      </c>
      <c r="F49" s="108">
        <v>35</v>
      </c>
      <c r="G49" s="108" t="str">
        <f>VLOOKUP(A49,Tabla1[#All],55)</f>
        <v>10 AÑOS</v>
      </c>
      <c r="H49" s="108">
        <v>35</v>
      </c>
      <c r="I49" s="108" t="str">
        <f>VLOOKUP(A49,Tabla1[#All],58)</f>
        <v>BACHILLER</v>
      </c>
      <c r="J49" s="108" t="str">
        <f>VLOOKUP(A49,Tabla1[#All],59)</f>
        <v>NO</v>
      </c>
      <c r="K49" s="108" t="str">
        <f>VLOOKUP(A49,Tabla1[#All],60)</f>
        <v>NO</v>
      </c>
      <c r="L49" s="108" t="str">
        <f>VLOOKUP(A49,Tabla1[#All],61)</f>
        <v>NO</v>
      </c>
      <c r="M49" s="108">
        <v>7</v>
      </c>
      <c r="N49" s="108">
        <f t="shared" si="1"/>
        <v>77</v>
      </c>
      <c r="O49" s="107">
        <v>0</v>
      </c>
      <c r="P49" s="16">
        <f>+Tabla26[[#This Row],[Nota Total ]]+Tabla26[[#This Row],[Nota Unidades]]</f>
        <v>77</v>
      </c>
    </row>
    <row r="50" spans="1:16" x14ac:dyDescent="0.3">
      <c r="A50" s="11">
        <v>15</v>
      </c>
      <c r="B50" s="106" t="str">
        <f>VLOOKUP(A50,Tabla1[#All],2)</f>
        <v xml:space="preserve">Gerardo Fuentes Chavarría </v>
      </c>
      <c r="C50" s="102" t="str">
        <f>VLOOKUP(A50,Tabla1[#All],36)</f>
        <v>GERARDO FUENTES CHAVARRIA</v>
      </c>
      <c r="D50" s="102" t="str">
        <f>VLOOKUP(A50,Tabla1[#All],37)</f>
        <v>1-02 SAN PEDRO</v>
      </c>
      <c r="E50" s="104" t="str">
        <f>VLOOKUP(A50,Tabla1[#All],39)</f>
        <v>12 AÑOS</v>
      </c>
      <c r="F50" s="104">
        <v>35</v>
      </c>
      <c r="G50" s="104" t="str">
        <f>VLOOKUP(A50,Tabla1[#All],40)</f>
        <v>15 AÑOS</v>
      </c>
      <c r="H50" s="104">
        <v>35</v>
      </c>
      <c r="I50" s="104" t="str">
        <f>VLOOKUP(A50,Tabla1[#All],43)</f>
        <v>NOVENO</v>
      </c>
      <c r="J50" s="104" t="str">
        <f>VLOOKUP(A50,Tabla1[#All],44)</f>
        <v>NO</v>
      </c>
      <c r="K50" s="104" t="str">
        <f>VLOOKUP(A50,Tabla1[#All],45)</f>
        <v>NO</v>
      </c>
      <c r="L50" s="104" t="str">
        <f>VLOOKUP(A50,Tabla1[#All],46)</f>
        <v>NO</v>
      </c>
      <c r="M50" s="104">
        <v>6</v>
      </c>
      <c r="N50" s="104">
        <f t="shared" si="1"/>
        <v>76</v>
      </c>
      <c r="O50" s="107">
        <v>5</v>
      </c>
      <c r="P50" s="16">
        <f>+Tabla26[[#This Row],[Nota Total ]]+Tabla26[[#This Row],[Nota Unidades]]</f>
        <v>81</v>
      </c>
    </row>
    <row r="51" spans="1:16" ht="38" x14ac:dyDescent="0.3">
      <c r="A51" s="11">
        <v>15</v>
      </c>
      <c r="B51" s="106" t="str">
        <f>VLOOKUP(A51,Tabla1[#All],2)</f>
        <v xml:space="preserve">Gerardo Fuentes Chavarría </v>
      </c>
      <c r="C51" s="106" t="str">
        <f>VLOOKUP(A51,Tabla1[#All],51)</f>
        <v>IGNACIO ALEJANDRO DIAZ VALERIO</v>
      </c>
      <c r="D51" s="106" t="str">
        <f>VLOOKUP(A51,Tabla1[#All],52)</f>
        <v>1-02 SAN PEDRO</v>
      </c>
      <c r="E51" s="108">
        <f>VLOOKUP(A51,Tabla1[#All],54)</f>
        <v>1</v>
      </c>
      <c r="F51" s="108">
        <v>25</v>
      </c>
      <c r="G51" s="108">
        <f>VLOOKUP(A51,Tabla1[#All],55)</f>
        <v>6</v>
      </c>
      <c r="H51" s="108">
        <v>35</v>
      </c>
      <c r="I51" s="109" t="str">
        <f>VLOOKUP(A51,Tabla1[#All],58)</f>
        <v>SUBSANAR, ADJUNTA CARTA DE COMPROMISO</v>
      </c>
      <c r="J51" s="108" t="str">
        <f>VLOOKUP(A51,Tabla1[#All],59)</f>
        <v>NO</v>
      </c>
      <c r="K51" s="108" t="str">
        <f>VLOOKUP(A51,Tabla1[#All],60)</f>
        <v>NO</v>
      </c>
      <c r="L51" s="108" t="str">
        <f>VLOOKUP(A51,Tabla1[#All],61)</f>
        <v>NO</v>
      </c>
      <c r="M51" s="108">
        <v>0</v>
      </c>
      <c r="N51" s="108">
        <f t="shared" si="1"/>
        <v>60</v>
      </c>
      <c r="O51" s="107">
        <v>5</v>
      </c>
      <c r="P51" s="16">
        <f>+Tabla26[[#This Row],[Nota Total ]]+Tabla26[[#This Row],[Nota Unidades]]</f>
        <v>65</v>
      </c>
    </row>
    <row r="52" spans="1:16" x14ac:dyDescent="0.3">
      <c r="A52" s="11">
        <v>15</v>
      </c>
      <c r="B52" s="106" t="str">
        <f>VLOOKUP(A52,Tabla1[#All],2)</f>
        <v xml:space="preserve">Gerardo Fuentes Chavarría </v>
      </c>
      <c r="C52" s="106" t="str">
        <f>VLOOKUP(A52,Tabla1[#All],66)</f>
        <v>MAURICIO CALVO CALVO</v>
      </c>
      <c r="D52" s="106" t="str">
        <f>VLOOKUP(A52,Tabla1[#All],67)</f>
        <v>1-02 SAN PEDRO</v>
      </c>
      <c r="E52" s="108" t="str">
        <f>VLOOKUP(A52,Tabla1[#All],69)</f>
        <v>5 AÑOS</v>
      </c>
      <c r="F52" s="108">
        <v>35</v>
      </c>
      <c r="G52" s="108" t="str">
        <f>VLOOKUP(A52,Tabla1[#All],70)</f>
        <v>9 AÑOS</v>
      </c>
      <c r="H52" s="108">
        <v>35</v>
      </c>
      <c r="I52" s="109" t="str">
        <f>VLOOKUP(A52,Tabla1[#All],73)</f>
        <v>NOVENO</v>
      </c>
      <c r="J52" s="108" t="str">
        <f>VLOOKUP(A52,Tabla1[#All],74)</f>
        <v>NO</v>
      </c>
      <c r="K52" s="108" t="str">
        <f>VLOOKUP(A52,Tabla1[#All],75)</f>
        <v>NO</v>
      </c>
      <c r="L52" s="108" t="str">
        <f>VLOOKUP(A52,Tabla1[#All],76)</f>
        <v>NO</v>
      </c>
      <c r="M52" s="108">
        <v>6</v>
      </c>
      <c r="N52" s="108">
        <f t="shared" si="1"/>
        <v>76</v>
      </c>
      <c r="O52" s="107">
        <v>5</v>
      </c>
      <c r="P52" s="16">
        <f>+Tabla26[[#This Row],[Nota Total ]]+Tabla26[[#This Row],[Nota Unidades]]</f>
        <v>81</v>
      </c>
    </row>
    <row r="53" spans="1:16" ht="38" x14ac:dyDescent="0.3">
      <c r="A53" s="11">
        <v>15</v>
      </c>
      <c r="B53" s="106" t="str">
        <f>VLOOKUP(A53,Tabla1[#All],2)</f>
        <v xml:space="preserve">Gerardo Fuentes Chavarría </v>
      </c>
      <c r="C53" s="106" t="str">
        <f>VLOOKUP(A53,Tabla1[#All],81)</f>
        <v>MICHAEL MONTERO MONTERO</v>
      </c>
      <c r="D53" s="106" t="str">
        <f>VLOOKUP(A53,Tabla1[#All],82)</f>
        <v>1-02 SAN PERDRO</v>
      </c>
      <c r="E53" s="108">
        <f>VLOOKUP(A53,Tabla1[#All],84)</f>
        <v>0</v>
      </c>
      <c r="F53" s="108">
        <v>5</v>
      </c>
      <c r="G53" s="108">
        <f>VLOOKUP(A53,Tabla1[#All],85)</f>
        <v>5</v>
      </c>
      <c r="H53" s="108">
        <v>35</v>
      </c>
      <c r="I53" s="109" t="str">
        <f>VLOOKUP(A53,Tabla1[#All],88)</f>
        <v>SUBSANAR, ADJUNTA CARTA DE COMPROMISO</v>
      </c>
      <c r="J53" s="108" t="str">
        <f>VLOOKUP(A53,Tabla1[#All],89)</f>
        <v>NO</v>
      </c>
      <c r="K53" s="108" t="str">
        <f>VLOOKUP(A53,Tabla1[#All],90)</f>
        <v>NO</v>
      </c>
      <c r="L53" s="108" t="str">
        <f>VLOOKUP(A53,Tabla1[#All],91)</f>
        <v>NO</v>
      </c>
      <c r="M53" s="108">
        <v>0</v>
      </c>
      <c r="N53" s="108">
        <f t="shared" si="1"/>
        <v>40</v>
      </c>
      <c r="O53" s="107">
        <v>0</v>
      </c>
      <c r="P53" s="16">
        <f>+Tabla26[[#This Row],[Nota Total ]]+Tabla26[[#This Row],[Nota Unidades]]</f>
        <v>40</v>
      </c>
    </row>
    <row r="54" spans="1:16" x14ac:dyDescent="0.3">
      <c r="A54" s="11">
        <v>16</v>
      </c>
      <c r="B54" s="106" t="str">
        <f>VLOOKUP(A54,Tabla1[#All],2)</f>
        <v>Carmen Lidia Anchía Cerdas</v>
      </c>
      <c r="C54" s="102" t="str">
        <f>VLOOKUP(A54,Tabla1[#All],36)</f>
        <v>ERICK HERNANDEZ GOMEZ</v>
      </c>
      <c r="D54" s="102" t="str">
        <f>VLOOKUP(A54,Tabla1[#All],37)</f>
        <v>2-03 CIUDAD QUESADA</v>
      </c>
      <c r="E54" s="104" t="str">
        <f>VLOOKUP(A54,Tabla1[#All],39)</f>
        <v>22 AÑOS</v>
      </c>
      <c r="F54" s="104">
        <v>35</v>
      </c>
      <c r="G54" s="104" t="str">
        <f>VLOOKUP(A54,Tabla1[#All],40)</f>
        <v>22 AÑOS</v>
      </c>
      <c r="H54" s="104">
        <v>35</v>
      </c>
      <c r="I54" s="104" t="str">
        <f>VLOOKUP(A54,Tabla1[#All],43)</f>
        <v>SEXTO</v>
      </c>
      <c r="J54" s="104" t="str">
        <f>VLOOKUP(A54,Tabla1[#All],44)</f>
        <v>NO</v>
      </c>
      <c r="K54" s="104" t="str">
        <f>VLOOKUP(A54,Tabla1[#All],45)</f>
        <v>NO</v>
      </c>
      <c r="L54" s="104" t="str">
        <f>VLOOKUP(A54,Tabla1[#All],46)</f>
        <v>NO</v>
      </c>
      <c r="M54" s="104">
        <v>5</v>
      </c>
      <c r="N54" s="104">
        <f t="shared" si="1"/>
        <v>75</v>
      </c>
      <c r="O54" s="16">
        <v>0</v>
      </c>
      <c r="P54" s="16">
        <f>+Tabla26[[#This Row],[Nota Total ]]+Tabla26[[#This Row],[Nota Unidades]]</f>
        <v>75</v>
      </c>
    </row>
    <row r="55" spans="1:16" x14ac:dyDescent="0.3">
      <c r="A55" s="11">
        <v>16</v>
      </c>
      <c r="B55" s="106" t="str">
        <f>VLOOKUP(A55,Tabla1[#All],2)</f>
        <v>Carmen Lidia Anchía Cerdas</v>
      </c>
      <c r="C55" s="106" t="str">
        <f>VLOOKUP(A55,Tabla1[#All],51)</f>
        <v>MINOR ANCHIA CERDAS</v>
      </c>
      <c r="D55" s="106" t="str">
        <f>VLOOKUP(A55,Tabla1[#All],52)</f>
        <v>2-03 CIUDAD QUESADA</v>
      </c>
      <c r="E55" s="108" t="str">
        <f>VLOOKUP(A55,Tabla1[#All],54)</f>
        <v>2 AÑOS</v>
      </c>
      <c r="F55" s="108">
        <v>35</v>
      </c>
      <c r="G55" s="108" t="str">
        <f>VLOOKUP(A55,Tabla1[#All],55)</f>
        <v>2 AÑOS</v>
      </c>
      <c r="H55" s="108">
        <v>35</v>
      </c>
      <c r="I55" s="108" t="str">
        <f>VLOOKUP(A55,Tabla1[#All],58)</f>
        <v>NOVENO</v>
      </c>
      <c r="J55" s="108" t="str">
        <f>VLOOKUP(A55,Tabla1[#All],59)</f>
        <v>NO</v>
      </c>
      <c r="K55" s="108" t="str">
        <f>VLOOKUP(A55,Tabla1[#All],60)</f>
        <v>NO</v>
      </c>
      <c r="L55" s="108" t="str">
        <f>VLOOKUP(A55,Tabla1[#All],61)</f>
        <v>NO</v>
      </c>
      <c r="M55" s="108">
        <v>6</v>
      </c>
      <c r="N55" s="108">
        <f t="shared" si="1"/>
        <v>76</v>
      </c>
      <c r="O55" s="16">
        <v>20</v>
      </c>
      <c r="P55" s="16">
        <f>+Tabla26[[#This Row],[Nota Total ]]+Tabla26[[#This Row],[Nota Unidades]]</f>
        <v>96</v>
      </c>
    </row>
    <row r="56" spans="1:16" x14ac:dyDescent="0.3">
      <c r="A56" s="11">
        <v>17</v>
      </c>
      <c r="B56" s="106" t="str">
        <f>VLOOKUP(A56,Tabla1[#All],2)</f>
        <v xml:space="preserve">Gustavo Alonso Segura Arias </v>
      </c>
      <c r="C56" s="102" t="str">
        <f>VLOOKUP(A56,Tabla1[#All],36)</f>
        <v>GUSTAVO SEGURA ARIAS</v>
      </c>
      <c r="D56" s="102" t="str">
        <f>VLOOKUP(A56,Tabla1[#All],37)</f>
        <v>6-02 PUNTARENAS</v>
      </c>
      <c r="E56" s="104">
        <f>VLOOKUP(A56,Tabla1[#All],39)</f>
        <v>8</v>
      </c>
      <c r="F56" s="104">
        <v>35</v>
      </c>
      <c r="G56" s="104">
        <f>VLOOKUP(A56,Tabla1[#All],40)</f>
        <v>8</v>
      </c>
      <c r="H56" s="104">
        <v>35</v>
      </c>
      <c r="I56" s="104" t="str">
        <f>VLOOKUP(A56,Tabla1[#All],43)</f>
        <v>BACHILLER</v>
      </c>
      <c r="J56" s="104" t="str">
        <f>VLOOKUP(A56,Tabla1[#All],44)</f>
        <v>NO</v>
      </c>
      <c r="K56" s="104" t="str">
        <f>VLOOKUP(A56,Tabla1[#All],45)</f>
        <v>NO</v>
      </c>
      <c r="L56" s="104" t="str">
        <f>VLOOKUP(A56,Tabla1[#All],46)</f>
        <v>SI</v>
      </c>
      <c r="M56" s="104">
        <v>8</v>
      </c>
      <c r="N56" s="104">
        <f t="shared" si="1"/>
        <v>78</v>
      </c>
      <c r="O56" s="107">
        <v>20</v>
      </c>
      <c r="P56" s="16">
        <f>+Tabla26[[#This Row],[Nota Total ]]+Tabla26[[#This Row],[Nota Unidades]]</f>
        <v>98</v>
      </c>
    </row>
    <row r="57" spans="1:16" x14ac:dyDescent="0.3">
      <c r="A57" s="11">
        <v>17</v>
      </c>
      <c r="B57" s="106" t="str">
        <f>VLOOKUP(A57,Tabla1[#All],2)</f>
        <v xml:space="preserve">Gustavo Alonso Segura Arias </v>
      </c>
      <c r="C57" s="106" t="str">
        <f>VLOOKUP(A57,Tabla1[#All],51)</f>
        <v>JOAN LOPEZ ZUÑIGA</v>
      </c>
      <c r="D57" s="106" t="str">
        <f>VLOOKUP(A57,Tabla1[#All],52)</f>
        <v>6-02 PUNTARENAS</v>
      </c>
      <c r="E57" s="108">
        <f>VLOOKUP(A57,Tabla1[#All],54)</f>
        <v>7</v>
      </c>
      <c r="F57" s="104">
        <v>35</v>
      </c>
      <c r="G57" s="108">
        <f>VLOOKUP(A57,Tabla1[#All],55)</f>
        <v>7</v>
      </c>
      <c r="H57" s="104">
        <v>35</v>
      </c>
      <c r="I57" s="108" t="str">
        <f>VLOOKUP(A57,Tabla1[#All],58)</f>
        <v>UNIVERSIDAD</v>
      </c>
      <c r="J57" s="108" t="str">
        <f>VLOOKUP(A57,Tabla1[#All],59)</f>
        <v>NO</v>
      </c>
      <c r="K57" s="108" t="str">
        <f>VLOOKUP(A57,Tabla1[#All],60)</f>
        <v>NO</v>
      </c>
      <c r="L57" s="108" t="str">
        <f>VLOOKUP(A57,Tabla1[#All],61)</f>
        <v>SI</v>
      </c>
      <c r="M57" s="108">
        <v>8</v>
      </c>
      <c r="N57" s="108">
        <f t="shared" si="1"/>
        <v>78</v>
      </c>
      <c r="O57" s="107">
        <v>5</v>
      </c>
      <c r="P57" s="16">
        <f>+Tabla26[[#This Row],[Nota Total ]]+Tabla26[[#This Row],[Nota Unidades]]</f>
        <v>83</v>
      </c>
    </row>
    <row r="58" spans="1:16" x14ac:dyDescent="0.3">
      <c r="A58" s="11">
        <v>18</v>
      </c>
      <c r="B58" s="106" t="str">
        <f>VLOOKUP(A58,Tabla1[#All],2)</f>
        <v xml:space="preserve">Luis Felipe Cerdas Salazar </v>
      </c>
      <c r="C58" s="102" t="str">
        <f>VLOOKUP(A58,Tabla1[#All],36)</f>
        <v>BRYAN VALVERDE MEJIA</v>
      </c>
      <c r="D58" s="102" t="str">
        <f>VLOOKUP(A58,Tabla1[#All],37)</f>
        <v>1-01 LA MERCED</v>
      </c>
      <c r="E58" s="104" t="str">
        <f>VLOOKUP(A58,Tabla1[#All],39)</f>
        <v>5 AÑOS</v>
      </c>
      <c r="F58" s="104">
        <v>35</v>
      </c>
      <c r="G58" s="104" t="str">
        <f>VLOOKUP(A58,Tabla1[#All],40)</f>
        <v>11 AÑOS</v>
      </c>
      <c r="H58" s="104">
        <v>35</v>
      </c>
      <c r="I58" s="104" t="str">
        <f>VLOOKUP(A58,Tabla1[#All],43)</f>
        <v>BACHILLER</v>
      </c>
      <c r="J58" s="104" t="str">
        <f>VLOOKUP(A58,Tabla1[#All],44)</f>
        <v>NO</v>
      </c>
      <c r="K58" s="104" t="str">
        <f>VLOOKUP(A58,Tabla1[#All],45)</f>
        <v>NO</v>
      </c>
      <c r="L58" s="104" t="str">
        <f>VLOOKUP(A58,Tabla1[#All],46)</f>
        <v>NO</v>
      </c>
      <c r="M58" s="104">
        <v>7</v>
      </c>
      <c r="N58" s="104">
        <f t="shared" si="1"/>
        <v>77</v>
      </c>
      <c r="O58" s="107">
        <v>5</v>
      </c>
      <c r="P58" s="16">
        <f>+Tabla26[[#This Row],[Nota Total ]]+Tabla26[[#This Row],[Nota Unidades]]</f>
        <v>82</v>
      </c>
    </row>
    <row r="59" spans="1:16" x14ac:dyDescent="0.3">
      <c r="A59" s="11">
        <v>18</v>
      </c>
      <c r="B59" s="106" t="str">
        <f>VLOOKUP(A59,Tabla1[#All],2)</f>
        <v xml:space="preserve">Luis Felipe Cerdas Salazar </v>
      </c>
      <c r="C59" s="106" t="str">
        <f>VLOOKUP(A59,Tabla1[#All],51)</f>
        <v>CRISTIAN CHAVARRIA MORA</v>
      </c>
      <c r="D59" s="106" t="str">
        <f>VLOOKUP(A59,Tabla1[#All],52)</f>
        <v>1-01 LA MERCED</v>
      </c>
      <c r="E59" s="108" t="str">
        <f>VLOOKUP(A59,Tabla1[#All],54)</f>
        <v>9 AÑOS</v>
      </c>
      <c r="F59" s="108">
        <v>35</v>
      </c>
      <c r="G59" s="108" t="str">
        <f>VLOOKUP(A59,Tabla1[#All],55)</f>
        <v>21 AÑOS</v>
      </c>
      <c r="H59" s="108">
        <v>35</v>
      </c>
      <c r="I59" s="108" t="str">
        <f>VLOOKUP(A59,Tabla1[#All],58)</f>
        <v>BACHILLER</v>
      </c>
      <c r="J59" s="108" t="str">
        <f>VLOOKUP(A59,Tabla1[#All],59)</f>
        <v>NO</v>
      </c>
      <c r="K59" s="108" t="str">
        <f>VLOOKUP(A59,Tabla1[#All],60)</f>
        <v>NO</v>
      </c>
      <c r="L59" s="108" t="str">
        <f>VLOOKUP(A59,Tabla1[#All],61)</f>
        <v>NO</v>
      </c>
      <c r="M59" s="108">
        <v>7</v>
      </c>
      <c r="N59" s="108">
        <f t="shared" si="1"/>
        <v>77</v>
      </c>
      <c r="O59" s="105">
        <v>20</v>
      </c>
      <c r="P59" s="16">
        <f>+Tabla26[[#This Row],[Nota Total ]]+Tabla26[[#This Row],[Nota Unidades]]</f>
        <v>97</v>
      </c>
    </row>
    <row r="60" spans="1:16" x14ac:dyDescent="0.3">
      <c r="A60" s="11">
        <v>18</v>
      </c>
      <c r="B60" s="102" t="str">
        <f>VLOOKUP(A60,Tabla1[#All],2)</f>
        <v xml:space="preserve">Luis Felipe Cerdas Salazar </v>
      </c>
      <c r="C60" s="106" t="str">
        <f>VLOOKUP(A60,Tabla1[#All],66)</f>
        <v>JERRY CAMPOS MEJÍA</v>
      </c>
      <c r="D60" s="106" t="str">
        <f>VLOOKUP(A60,Tabla1[#All],67)</f>
        <v>1-01 LA MERCED</v>
      </c>
      <c r="E60" s="108" t="str">
        <f>VLOOKUP(A60,Tabla1[#All],69)</f>
        <v>6 MESES</v>
      </c>
      <c r="F60" s="108">
        <v>15</v>
      </c>
      <c r="G60" s="108" t="str">
        <f>VLOOKUP(A60,Tabla1[#All],70)</f>
        <v>20 AÑOS</v>
      </c>
      <c r="H60" s="108">
        <v>35</v>
      </c>
      <c r="I60" s="108" t="str">
        <f>VLOOKUP(A60,Tabla1[#All],73)</f>
        <v>SEXTO</v>
      </c>
      <c r="J60" s="108" t="str">
        <f>VLOOKUP(A60,Tabla1[#All],74)</f>
        <v>NO</v>
      </c>
      <c r="K60" s="108" t="str">
        <f>VLOOKUP(A60,Tabla1[#All],75)</f>
        <v>NO</v>
      </c>
      <c r="L60" s="108" t="str">
        <f>VLOOKUP(A60,Tabla1[#All],76)</f>
        <v>SI</v>
      </c>
      <c r="M60" s="108">
        <v>6</v>
      </c>
      <c r="N60" s="108">
        <f t="shared" si="1"/>
        <v>56</v>
      </c>
      <c r="O60" s="105">
        <v>5</v>
      </c>
      <c r="P60" s="16">
        <f>+Tabla26[[#This Row],[Nota Total ]]+Tabla26[[#This Row],[Nota Unidades]]</f>
        <v>61</v>
      </c>
    </row>
    <row r="61" spans="1:16" x14ac:dyDescent="0.3">
      <c r="A61" s="11">
        <v>18</v>
      </c>
      <c r="B61" s="102" t="str">
        <f>VLOOKUP(A61,Tabla1[#All],2)</f>
        <v xml:space="preserve">Luis Felipe Cerdas Salazar </v>
      </c>
      <c r="C61" s="106" t="str">
        <f>VLOOKUP(A61,Tabla1[#All],81)</f>
        <v>KENDALL LOPEZ MORA</v>
      </c>
      <c r="D61" s="106" t="str">
        <f>VLOOKUP(A61,Tabla1[#All],82)</f>
        <v>1-01 LA MERCED</v>
      </c>
      <c r="E61" s="108" t="str">
        <f>VLOOKUP(A61,Tabla1[#All],84)</f>
        <v>3 AÑOS</v>
      </c>
      <c r="F61" s="108">
        <v>35</v>
      </c>
      <c r="G61" s="108" t="str">
        <f>VLOOKUP(A61,Tabla1[#All],85)</f>
        <v>8 AÑOS</v>
      </c>
      <c r="H61" s="108">
        <v>35</v>
      </c>
      <c r="I61" s="108" t="str">
        <f>VLOOKUP(A61,Tabla1[#All],88)</f>
        <v>BACHILLER</v>
      </c>
      <c r="J61" s="108" t="str">
        <f>VLOOKUP(A61,Tabla1[#All],89)</f>
        <v>NO</v>
      </c>
      <c r="K61" s="108" t="str">
        <f>VLOOKUP(A61,Tabla1[#All],90)</f>
        <v>NO</v>
      </c>
      <c r="L61" s="108" t="str">
        <f>VLOOKUP(A61,Tabla1[#All],91)</f>
        <v>NO</v>
      </c>
      <c r="M61" s="108">
        <v>7</v>
      </c>
      <c r="N61" s="108">
        <f t="shared" si="1"/>
        <v>77</v>
      </c>
      <c r="O61" s="107">
        <v>5</v>
      </c>
      <c r="P61" s="16">
        <f>+Tabla26[[#This Row],[Nota Total ]]+Tabla26[[#This Row],[Nota Unidades]]</f>
        <v>82</v>
      </c>
    </row>
    <row r="62" spans="1:16" x14ac:dyDescent="0.3">
      <c r="A62" s="11">
        <v>19</v>
      </c>
      <c r="B62" s="106" t="str">
        <f>VLOOKUP(A62,Tabla1[#All],2)</f>
        <v>Aunier José Sequeira Navarrete</v>
      </c>
      <c r="C62" s="102" t="str">
        <f>VLOOKUP(A62,Tabla1[#All],36)</f>
        <v>AUNIER SEQUEIRA NAVARRETE</v>
      </c>
      <c r="D62" s="102" t="str">
        <f>VLOOKUP(A62,Tabla1[#All],37)</f>
        <v>6-04 PALMAR</v>
      </c>
      <c r="E62" s="104">
        <f>VLOOKUP(A62,Tabla1[#All],39)</f>
        <v>7</v>
      </c>
      <c r="F62" s="104">
        <v>35</v>
      </c>
      <c r="G62" s="104">
        <f>VLOOKUP(A62,Tabla1[#All],40)</f>
        <v>7</v>
      </c>
      <c r="H62" s="104">
        <v>35</v>
      </c>
      <c r="I62" s="104" t="str">
        <f>VLOOKUP(A62,Tabla1[#All],43)</f>
        <v>BACHILLER</v>
      </c>
      <c r="J62" s="104" t="str">
        <f>VLOOKUP(A62,Tabla1[#All],44)</f>
        <v>NO</v>
      </c>
      <c r="K62" s="104" t="str">
        <f>VLOOKUP(A62,Tabla1[#All],45)</f>
        <v>NO</v>
      </c>
      <c r="L62" s="104" t="str">
        <f>VLOOKUP(A62,Tabla1[#All],46)</f>
        <v>NO</v>
      </c>
      <c r="M62" s="104">
        <v>7</v>
      </c>
      <c r="N62" s="104">
        <f t="shared" si="1"/>
        <v>77</v>
      </c>
      <c r="O62" s="18">
        <v>0</v>
      </c>
      <c r="P62" s="18">
        <f>+Tabla26[[#This Row],[Nota Total ]]+Tabla26[[#This Row],[Nota Unidades]]</f>
        <v>77</v>
      </c>
    </row>
  </sheetData>
  <phoneticPr fontId="5" type="noConversion"/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3B2A3-FFFF-49A7-9C4E-98D7EF6AB629}">
  <dimension ref="A1:H67"/>
  <sheetViews>
    <sheetView showGridLines="0" workbookViewId="0">
      <selection activeCell="B67" sqref="B67"/>
    </sheetView>
  </sheetViews>
  <sheetFormatPr baseColWidth="10" defaultColWidth="11.453125" defaultRowHeight="14" x14ac:dyDescent="0.3"/>
  <cols>
    <col min="1" max="1" width="8.36328125" style="1" customWidth="1"/>
    <col min="2" max="2" width="26.81640625" style="1" customWidth="1"/>
    <col min="3" max="3" width="24.90625" style="1" customWidth="1"/>
    <col min="4" max="4" width="14.90625" style="13" customWidth="1"/>
    <col min="5" max="5" width="16.90625" style="1" customWidth="1"/>
    <col min="6" max="6" width="9.90625" style="3" customWidth="1"/>
    <col min="7" max="7" width="5.36328125" style="3" customWidth="1"/>
    <col min="8" max="8" width="13.08984375" style="3" customWidth="1"/>
    <col min="9" max="16384" width="11.453125" style="1"/>
  </cols>
  <sheetData>
    <row r="1" spans="1:8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</row>
    <row r="2" spans="1:8" s="4" customFormat="1" ht="11.5" x14ac:dyDescent="0.25">
      <c r="A2" s="6" t="s">
        <v>754</v>
      </c>
      <c r="B2" s="99" t="s">
        <v>9</v>
      </c>
      <c r="C2" s="99" t="s">
        <v>769</v>
      </c>
      <c r="D2" s="100" t="s">
        <v>763</v>
      </c>
      <c r="E2" s="99" t="s">
        <v>164</v>
      </c>
      <c r="F2" s="99" t="s">
        <v>165</v>
      </c>
      <c r="G2" s="101" t="s">
        <v>766</v>
      </c>
      <c r="H2" s="101" t="s">
        <v>764</v>
      </c>
    </row>
    <row r="3" spans="1:8" s="2" customFormat="1" ht="12.5" x14ac:dyDescent="0.25">
      <c r="A3" s="5">
        <v>1</v>
      </c>
      <c r="B3" s="102" t="str">
        <f>VLOOKUP(A3,Tabla1[#All],2)</f>
        <v>Luis Antonio Zeledón Prendas</v>
      </c>
      <c r="C3" s="102" t="s">
        <v>244</v>
      </c>
      <c r="D3" s="103" t="str">
        <f>VLOOKUP(A3,Tabla1[#All],156)</f>
        <v>BGT498</v>
      </c>
      <c r="E3" s="102" t="str">
        <f>VLOOKUP(A3,Tabla1[#All],157)</f>
        <v>AUTOMOVIL</v>
      </c>
      <c r="F3" s="104">
        <f>VLOOKUP(A3,Tabla1[#All],158)</f>
        <v>2004</v>
      </c>
      <c r="G3" s="105">
        <f>2023-Tabla3[[#This Row],[Año]]</f>
        <v>19</v>
      </c>
      <c r="H3" s="105">
        <v>5</v>
      </c>
    </row>
    <row r="4" spans="1:8" s="2" customFormat="1" ht="12.5" x14ac:dyDescent="0.25">
      <c r="A4" s="5">
        <v>1</v>
      </c>
      <c r="B4" s="102" t="str">
        <f>VLOOKUP(A4,Tabla1[#All],2)</f>
        <v>Luis Antonio Zeledón Prendas</v>
      </c>
      <c r="C4" s="102" t="s">
        <v>770</v>
      </c>
      <c r="D4" s="103" t="str">
        <f>VLOOKUP(A4,Tabla1[#All],166)</f>
        <v>MOT699559</v>
      </c>
      <c r="E4" s="102" t="str">
        <f>VLOOKUP(A4,Tabla1[#All],167)</f>
        <v>MOTOCICLETA</v>
      </c>
      <c r="F4" s="104">
        <f>VLOOKUP(A4,Tabla1[#All],168)</f>
        <v>2019</v>
      </c>
      <c r="G4" s="105">
        <f>2023-Tabla3[[#This Row],[Año]]</f>
        <v>4</v>
      </c>
      <c r="H4" s="105">
        <v>10</v>
      </c>
    </row>
    <row r="5" spans="1:8" s="2" customFormat="1" ht="12.5" x14ac:dyDescent="0.25">
      <c r="A5" s="5">
        <v>1</v>
      </c>
      <c r="B5" s="102" t="str">
        <f>VLOOKUP(A5,Tabla1[#All],2)</f>
        <v>Luis Antonio Zeledón Prendas</v>
      </c>
      <c r="C5" s="102" t="s">
        <v>771</v>
      </c>
      <c r="D5" s="103" t="str">
        <f>VLOOKUP(A5,Tabla1[#All],176)</f>
        <v>MOT755917</v>
      </c>
      <c r="E5" s="102" t="str">
        <f>VLOOKUP(A5,Tabla1[#All],177)</f>
        <v>MOTOCICLETA</v>
      </c>
      <c r="F5" s="104">
        <f>VLOOKUP(A5,Tabla1[#All],178)</f>
        <v>2020</v>
      </c>
      <c r="G5" s="105">
        <f>2023-Tabla3[[#This Row],[Año]]</f>
        <v>3</v>
      </c>
      <c r="H5" s="105">
        <v>15</v>
      </c>
    </row>
    <row r="6" spans="1:8" x14ac:dyDescent="0.3">
      <c r="A6" s="11">
        <v>2</v>
      </c>
      <c r="B6" s="106" t="str">
        <f>VLOOKUP(A6,Tabla1[#All],2)</f>
        <v>Pablo Araya Romero</v>
      </c>
      <c r="C6" s="106" t="s">
        <v>772</v>
      </c>
      <c r="D6" s="103" t="str">
        <f>VLOOKUP(A6,Tabla1[#All],156)</f>
        <v>MOT681524</v>
      </c>
      <c r="E6" s="102" t="str">
        <f>VLOOKUP(A6,Tabla1[#All],157)</f>
        <v>MOTOCICLETA</v>
      </c>
      <c r="F6" s="104">
        <f>VLOOKUP(A6,Tabla1[#All],158)</f>
        <v>2019</v>
      </c>
      <c r="G6" s="107">
        <f>2023-Tabla3[[#This Row],[Año]]</f>
        <v>4</v>
      </c>
      <c r="H6" s="107">
        <v>10</v>
      </c>
    </row>
    <row r="7" spans="1:8" x14ac:dyDescent="0.3">
      <c r="A7" s="11">
        <v>3</v>
      </c>
      <c r="B7" s="106" t="str">
        <f>VLOOKUP(A7,Tabla1[#All],2)</f>
        <v xml:space="preserve">Melvin Vargas Sandí </v>
      </c>
      <c r="C7" s="106" t="s">
        <v>774</v>
      </c>
      <c r="D7" s="103" t="str">
        <f>VLOOKUP(A7,Tabla1[#All],156)</f>
        <v>MOT721222</v>
      </c>
      <c r="E7" s="102" t="str">
        <f>VLOOKUP(A7,Tabla1[#All],157)</f>
        <v>MOTOCICLETA</v>
      </c>
      <c r="F7" s="104">
        <f>VLOOKUP(A7,Tabla1[#All],158)</f>
        <v>2020</v>
      </c>
      <c r="G7" s="107">
        <f>2023-Tabla3[[#This Row],[Año]]</f>
        <v>3</v>
      </c>
      <c r="H7" s="107">
        <v>15</v>
      </c>
    </row>
    <row r="8" spans="1:8" x14ac:dyDescent="0.3">
      <c r="A8" s="11">
        <v>3</v>
      </c>
      <c r="B8" s="106" t="str">
        <f>VLOOKUP(A8,Tabla1[#All],2)</f>
        <v xml:space="preserve">Melvin Vargas Sandí </v>
      </c>
      <c r="C8" s="106" t="s">
        <v>773</v>
      </c>
      <c r="D8" s="103" t="str">
        <f>VLOOKUP(A8,Tabla1[#All],166)</f>
        <v>MOT524619</v>
      </c>
      <c r="E8" s="102" t="str">
        <f>VLOOKUP(A8,Tabla1[#All],167)</f>
        <v>MOTOCICLETA</v>
      </c>
      <c r="F8" s="104">
        <f>VLOOKUP(A8,Tabla1[#All],168)</f>
        <v>2016</v>
      </c>
      <c r="G8" s="107">
        <f>2023-Tabla3[[#This Row],[Año]]</f>
        <v>7</v>
      </c>
      <c r="H8" s="107">
        <v>5</v>
      </c>
    </row>
    <row r="9" spans="1:8" x14ac:dyDescent="0.3">
      <c r="A9" s="11">
        <v>3</v>
      </c>
      <c r="B9" s="102" t="str">
        <f>VLOOKUP(A9,Tabla1[#All],2)</f>
        <v xml:space="preserve">Melvin Vargas Sandí </v>
      </c>
      <c r="C9" s="102" t="s">
        <v>775</v>
      </c>
      <c r="D9" s="103" t="str">
        <f>VLOOKUP(A9,Tabla1[#All],176)</f>
        <v>MOT709712</v>
      </c>
      <c r="E9" s="102" t="str">
        <f>VLOOKUP(A9,Tabla1[#All],177)</f>
        <v>MOTOCICLETA</v>
      </c>
      <c r="F9" s="104">
        <f>VLOOKUP(A9,Tabla1[#All],178)</f>
        <v>2019</v>
      </c>
      <c r="G9" s="105">
        <f>2023-Tabla3[[#This Row],[Año]]</f>
        <v>4</v>
      </c>
      <c r="H9" s="105">
        <v>10</v>
      </c>
    </row>
    <row r="10" spans="1:8" x14ac:dyDescent="0.3">
      <c r="A10" s="11">
        <v>3</v>
      </c>
      <c r="B10" s="102" t="str">
        <f>VLOOKUP(A10,Tabla1[#All],2)</f>
        <v xml:space="preserve">Melvin Vargas Sandí </v>
      </c>
      <c r="C10" s="102" t="s">
        <v>776</v>
      </c>
      <c r="D10" s="103" t="str">
        <f>VLOOKUP(A10,Tabla1[#All],186)</f>
        <v>MOT652601</v>
      </c>
      <c r="E10" s="102" t="str">
        <f>VLOOKUP(A10,Tabla1[#All],187)</f>
        <v>MOTOCICLETA</v>
      </c>
      <c r="F10" s="104">
        <f>VLOOKUP(A10,Tabla1[#All],188)</f>
        <v>2018</v>
      </c>
      <c r="G10" s="105">
        <f>2023-Tabla3[[#This Row],[Año]]</f>
        <v>5</v>
      </c>
      <c r="H10" s="105">
        <v>5</v>
      </c>
    </row>
    <row r="11" spans="1:8" x14ac:dyDescent="0.3">
      <c r="A11" s="11">
        <v>3</v>
      </c>
      <c r="B11" s="102" t="str">
        <f>VLOOKUP(A11,Tabla1[#All],2)</f>
        <v xml:space="preserve">Melvin Vargas Sandí </v>
      </c>
      <c r="C11" s="102" t="s">
        <v>777</v>
      </c>
      <c r="D11" s="103" t="str">
        <f>VLOOKUP(A11,Tabla1[#All],196)</f>
        <v>MOT490289</v>
      </c>
      <c r="E11" s="102" t="str">
        <f>VLOOKUP(A11,Tabla1[#All],197)</f>
        <v>MOTOCICLETA</v>
      </c>
      <c r="F11" s="104">
        <f>VLOOKUP(A11,Tabla1[#All],198)</f>
        <v>2016</v>
      </c>
      <c r="G11" s="105">
        <f>2023-Tabla3[[#This Row],[Año]]</f>
        <v>7</v>
      </c>
      <c r="H11" s="105">
        <v>5</v>
      </c>
    </row>
    <row r="12" spans="1:8" x14ac:dyDescent="0.3">
      <c r="A12" s="11">
        <v>3</v>
      </c>
      <c r="B12" s="102" t="str">
        <f>VLOOKUP(A12,Tabla1[#All],2)</f>
        <v xml:space="preserve">Melvin Vargas Sandí </v>
      </c>
      <c r="C12" s="102" t="s">
        <v>778</v>
      </c>
      <c r="D12" s="103" t="str">
        <f>VLOOKUP(A12,Tabla1[#All],206)</f>
        <v>MOT682461</v>
      </c>
      <c r="E12" s="102" t="str">
        <f>VLOOKUP(A12,Tabla1[#All],207)</f>
        <v>MOTOCICLETA</v>
      </c>
      <c r="F12" s="104">
        <f>VLOOKUP(A12,Tabla1[#All],208)</f>
        <v>2019</v>
      </c>
      <c r="G12" s="105">
        <f>2023-Tabla3[[#This Row],[Año]]</f>
        <v>4</v>
      </c>
      <c r="H12" s="105">
        <v>10</v>
      </c>
    </row>
    <row r="13" spans="1:8" x14ac:dyDescent="0.3">
      <c r="A13" s="11">
        <v>3</v>
      </c>
      <c r="B13" s="102" t="str">
        <f>VLOOKUP(A13,Tabla1[#All],2)</f>
        <v xml:space="preserve">Melvin Vargas Sandí </v>
      </c>
      <c r="C13" s="102" t="s">
        <v>298</v>
      </c>
      <c r="D13" s="103" t="str">
        <f>VLOOKUP(A13,Tabla1[#All],216)</f>
        <v>MOT-770170</v>
      </c>
      <c r="E13" s="102" t="str">
        <f>VLOOKUP(A13,Tabla1[#All],217)</f>
        <v>MOTOCICLETA</v>
      </c>
      <c r="F13" s="104">
        <f>VLOOKUP(A13,Tabla1[#All],218)</f>
        <v>2021</v>
      </c>
      <c r="G13" s="105">
        <f>2023-Tabla3[[#This Row],[Año]]</f>
        <v>2</v>
      </c>
      <c r="H13" s="105">
        <v>20</v>
      </c>
    </row>
    <row r="14" spans="1:8" x14ac:dyDescent="0.3">
      <c r="A14" s="11">
        <v>4</v>
      </c>
      <c r="B14" s="106" t="str">
        <f>VLOOKUP(A14,Tabla1[#All],2)</f>
        <v xml:space="preserve">José Gerardo Cortes Araya </v>
      </c>
      <c r="C14" s="106" t="s">
        <v>779</v>
      </c>
      <c r="D14" s="103" t="str">
        <f>VLOOKUP(A14,Tabla1[#All],156)</f>
        <v>MOT-533075</v>
      </c>
      <c r="E14" s="102" t="str">
        <f>VLOOKUP(A14,Tabla1[#All],157)</f>
        <v>MOTOCICLETA</v>
      </c>
      <c r="F14" s="104">
        <f>VLOOKUP(A14,Tabla1[#All],158)</f>
        <v>2017</v>
      </c>
      <c r="G14" s="107">
        <f>2023-Tabla3[[#This Row],[Año]]</f>
        <v>6</v>
      </c>
      <c r="H14" s="107">
        <v>5</v>
      </c>
    </row>
    <row r="15" spans="1:8" x14ac:dyDescent="0.3">
      <c r="A15" s="11">
        <v>4</v>
      </c>
      <c r="B15" s="106" t="str">
        <f>VLOOKUP(A15,Tabla1[#All],2)</f>
        <v xml:space="preserve">José Gerardo Cortes Araya </v>
      </c>
      <c r="C15" s="106" t="s">
        <v>780</v>
      </c>
      <c r="D15" s="103" t="str">
        <f>VLOOKUP(A15,Tabla1[#All],166)</f>
        <v>MOT749554</v>
      </c>
      <c r="E15" s="102" t="str">
        <f>VLOOKUP(A15,Tabla1[#All],167)</f>
        <v>MOTOCICLETA</v>
      </c>
      <c r="F15" s="104">
        <f>VLOOKUP(A15,Tabla1[#All],168)</f>
        <v>2020</v>
      </c>
      <c r="G15" s="107">
        <f>2023-Tabla3[[#This Row],[Año]]</f>
        <v>3</v>
      </c>
      <c r="H15" s="107">
        <v>15</v>
      </c>
    </row>
    <row r="16" spans="1:8" x14ac:dyDescent="0.3">
      <c r="A16" s="11">
        <v>4</v>
      </c>
      <c r="B16" s="106" t="str">
        <f>VLOOKUP(A16,Tabla1[#All],2)</f>
        <v xml:space="preserve">José Gerardo Cortes Araya </v>
      </c>
      <c r="C16" s="106" t="s">
        <v>782</v>
      </c>
      <c r="D16" s="103" t="str">
        <f>VLOOKUP(A16,Tabla1[#All],176)</f>
        <v>MOT787918</v>
      </c>
      <c r="E16" s="102" t="str">
        <f>VLOOKUP(A16,Tabla1[#All],177)</f>
        <v>MOTOCICLETA</v>
      </c>
      <c r="F16" s="104">
        <f>VLOOKUP(A16,Tabla1[#All],178)</f>
        <v>2022</v>
      </c>
      <c r="G16" s="107">
        <f>2023-Tabla3[[#This Row],[Año]]</f>
        <v>1</v>
      </c>
      <c r="H16" s="107">
        <v>20</v>
      </c>
    </row>
    <row r="17" spans="1:8" x14ac:dyDescent="0.3">
      <c r="A17" s="11">
        <v>4</v>
      </c>
      <c r="B17" s="106" t="str">
        <f>VLOOKUP(A17,Tabla1[#All],2)</f>
        <v xml:space="preserve">José Gerardo Cortes Araya </v>
      </c>
      <c r="C17" s="106" t="s">
        <v>781</v>
      </c>
      <c r="D17" s="103" t="str">
        <f>VLOOKUP(A17,Tabla1[#All],186)</f>
        <v>MOT501387</v>
      </c>
      <c r="E17" s="102" t="str">
        <f>VLOOKUP(A17,Tabla1[#All],187)</f>
        <v>MOTOCICLETA</v>
      </c>
      <c r="F17" s="104">
        <f>VLOOKUP(A17,Tabla1[#All],188)</f>
        <v>2016</v>
      </c>
      <c r="G17" s="107">
        <f>2023-Tabla3[[#This Row],[Año]]</f>
        <v>7</v>
      </c>
      <c r="H17" s="107">
        <v>5</v>
      </c>
    </row>
    <row r="18" spans="1:8" x14ac:dyDescent="0.3">
      <c r="A18" s="11">
        <v>5</v>
      </c>
      <c r="B18" s="106" t="str">
        <f>VLOOKUP(A18,Tabla1[#All],2)</f>
        <v xml:space="preserve">Marcela Arias Salas </v>
      </c>
      <c r="C18" s="106" t="s">
        <v>783</v>
      </c>
      <c r="D18" s="103" t="str">
        <f>VLOOKUP(A18,Tabla1[#All],156)</f>
        <v>MOT726603</v>
      </c>
      <c r="E18" s="102" t="str">
        <f>VLOOKUP(A18,Tabla1[#All],157)</f>
        <v>MOTOCICLETA</v>
      </c>
      <c r="F18" s="104">
        <f>VLOOKUP(A18,Tabla1[#All],158)</f>
        <v>2021</v>
      </c>
      <c r="G18" s="107">
        <f>2023-Tabla3[[#This Row],[Año]]</f>
        <v>2</v>
      </c>
      <c r="H18" s="107">
        <v>20</v>
      </c>
    </row>
    <row r="19" spans="1:8" x14ac:dyDescent="0.3">
      <c r="A19" s="11">
        <v>5</v>
      </c>
      <c r="B19" s="106" t="str">
        <f>VLOOKUP(A19,Tabla1[#All],2)</f>
        <v xml:space="preserve">Marcela Arias Salas </v>
      </c>
      <c r="C19" s="106" t="s">
        <v>380</v>
      </c>
      <c r="D19" s="103" t="str">
        <f>VLOOKUP(A19,Tabla1[#All],166)</f>
        <v>BJP841</v>
      </c>
      <c r="E19" s="102" t="str">
        <f>VLOOKUP(A19,Tabla1[#All],167)</f>
        <v>VEHICULO</v>
      </c>
      <c r="F19" s="104">
        <f>VLOOKUP(A19,Tabla1[#All],168)</f>
        <v>2016</v>
      </c>
      <c r="G19" s="107">
        <f>2023-Tabla3[[#This Row],[Año]]</f>
        <v>7</v>
      </c>
      <c r="H19" s="107">
        <v>15</v>
      </c>
    </row>
    <row r="20" spans="1:8" x14ac:dyDescent="0.3">
      <c r="A20" s="11">
        <v>5</v>
      </c>
      <c r="B20" s="106" t="str">
        <f>VLOOKUP(A20,Tabla1[#All],2)</f>
        <v xml:space="preserve">Marcela Arias Salas </v>
      </c>
      <c r="C20" s="106" t="s">
        <v>784</v>
      </c>
      <c r="D20" s="103">
        <f>VLOOKUP(A20,Tabla1[#All],176)</f>
        <v>797398</v>
      </c>
      <c r="E20" s="102" t="str">
        <f>VLOOKUP(A20,Tabla1[#All],177)</f>
        <v>VEHICULO</v>
      </c>
      <c r="F20" s="104">
        <f>VLOOKUP(A20,Tabla1[#All],178)</f>
        <v>2009</v>
      </c>
      <c r="G20" s="107">
        <f>2023-Tabla3[[#This Row],[Año]]</f>
        <v>14</v>
      </c>
      <c r="H20" s="107">
        <v>5</v>
      </c>
    </row>
    <row r="21" spans="1:8" x14ac:dyDescent="0.3">
      <c r="A21" s="11">
        <v>5</v>
      </c>
      <c r="B21" s="106" t="str">
        <f>VLOOKUP(A21,Tabla1[#All],2)</f>
        <v xml:space="preserve">Marcela Arias Salas </v>
      </c>
      <c r="C21" s="106" t="s">
        <v>785</v>
      </c>
      <c r="D21" s="103" t="str">
        <f>VLOOKUP(A21,Tabla1[#All],186)</f>
        <v>MOT658651</v>
      </c>
      <c r="E21" s="102" t="str">
        <f>VLOOKUP(A21,Tabla1[#All],187)</f>
        <v>MOTOCICLETA</v>
      </c>
      <c r="F21" s="104">
        <f>VLOOKUP(A21,Tabla1[#All],188)</f>
        <v>2018</v>
      </c>
      <c r="G21" s="107">
        <f>2023-Tabla3[[#This Row],[Año]]</f>
        <v>5</v>
      </c>
      <c r="H21" s="107">
        <v>5</v>
      </c>
    </row>
    <row r="22" spans="1:8" x14ac:dyDescent="0.3">
      <c r="A22" s="11">
        <v>6</v>
      </c>
      <c r="B22" s="106" t="str">
        <f>VLOOKUP(A22,Tabla1[#All],2)</f>
        <v>Edmundo Pacheco Ramírez</v>
      </c>
      <c r="C22" s="106" t="s">
        <v>787</v>
      </c>
      <c r="D22" s="103" t="str">
        <f>VLOOKUP(A22,Tabla1[#All],156)</f>
        <v>33AGV88</v>
      </c>
      <c r="E22" s="102" t="str">
        <f>VLOOKUP(A22,Tabla1[#All],157)</f>
        <v>MOTOCICLETA</v>
      </c>
      <c r="F22" s="104">
        <f>VLOOKUP(A22,Tabla1[#All],158)</f>
        <v>2022</v>
      </c>
      <c r="G22" s="107">
        <f>2023-Tabla3[[#This Row],[Año]]</f>
        <v>1</v>
      </c>
      <c r="H22" s="107">
        <v>20</v>
      </c>
    </row>
    <row r="23" spans="1:8" x14ac:dyDescent="0.3">
      <c r="A23" s="11">
        <v>6</v>
      </c>
      <c r="B23" s="106" t="str">
        <f>VLOOKUP(A23,Tabla1[#All],2)</f>
        <v>Edmundo Pacheco Ramírez</v>
      </c>
      <c r="C23" s="106" t="s">
        <v>786</v>
      </c>
      <c r="D23" s="103" t="str">
        <f>VLOOKUP(A23,Tabla1[#All],166)</f>
        <v>MOT658450</v>
      </c>
      <c r="E23" s="102" t="str">
        <f>VLOOKUP(A23,Tabla1[#All],167)</f>
        <v>MOTOCICLETA</v>
      </c>
      <c r="F23" s="104">
        <f>VLOOKUP(A23,Tabla1[#All],168)</f>
        <v>2019</v>
      </c>
      <c r="G23" s="107">
        <f>2023-Tabla3[[#This Row],[Año]]</f>
        <v>4</v>
      </c>
      <c r="H23" s="107">
        <v>10</v>
      </c>
    </row>
    <row r="24" spans="1:8" x14ac:dyDescent="0.3">
      <c r="A24" s="11">
        <v>6</v>
      </c>
      <c r="B24" s="106" t="str">
        <f>VLOOKUP(A24,Tabla1[#All],2)</f>
        <v>Edmundo Pacheco Ramírez</v>
      </c>
      <c r="C24" s="106" t="s">
        <v>418</v>
      </c>
      <c r="D24" s="103" t="str">
        <f>VLOOKUP(A24,Tabla1[#All],176)</f>
        <v>MOT586752</v>
      </c>
      <c r="E24" s="102" t="str">
        <f>VLOOKUP(A24,Tabla1[#All],177)</f>
        <v>MOTOCICLETA</v>
      </c>
      <c r="F24" s="104">
        <f>VLOOKUP(A24,Tabla1[#All],178)</f>
        <v>2017</v>
      </c>
      <c r="G24" s="107">
        <f>2023-Tabla3[[#This Row],[Año]]</f>
        <v>6</v>
      </c>
      <c r="H24" s="107">
        <v>5</v>
      </c>
    </row>
    <row r="25" spans="1:8" x14ac:dyDescent="0.3">
      <c r="A25" s="11">
        <v>6</v>
      </c>
      <c r="B25" s="106" t="str">
        <f>VLOOKUP(A25,Tabla1[#All],2)</f>
        <v>Edmundo Pacheco Ramírez</v>
      </c>
      <c r="C25" s="106" t="s">
        <v>421</v>
      </c>
      <c r="D25" s="103" t="str">
        <f>VLOOKUP(A25,Tabla1[#All],186)</f>
        <v>MOT512695</v>
      </c>
      <c r="E25" s="102" t="str">
        <f>VLOOKUP(A25,Tabla1[#All],187)</f>
        <v>MOTOCICLETA</v>
      </c>
      <c r="F25" s="104">
        <f>VLOOKUP(A25,Tabla1[#All],188)</f>
        <v>2016</v>
      </c>
      <c r="G25" s="107">
        <f>2023-Tabla3[[#This Row],[Año]]</f>
        <v>7</v>
      </c>
      <c r="H25" s="107">
        <v>5</v>
      </c>
    </row>
    <row r="26" spans="1:8" x14ac:dyDescent="0.3">
      <c r="A26" s="11">
        <v>6</v>
      </c>
      <c r="B26" s="106" t="str">
        <f>VLOOKUP(A26,Tabla1[#All],2)</f>
        <v>Edmundo Pacheco Ramírez</v>
      </c>
      <c r="C26" s="106" t="s">
        <v>424</v>
      </c>
      <c r="D26" s="103" t="str">
        <f>VLOOKUP(A26,Tabla1[#All],196)</f>
        <v>MOT770229</v>
      </c>
      <c r="E26" s="102" t="str">
        <f>VLOOKUP(A26,Tabla1[#All],197)</f>
        <v>MOTOCICLETA</v>
      </c>
      <c r="F26" s="104">
        <f>VLOOKUP(A26,Tabla1[#All],198)</f>
        <v>2021</v>
      </c>
      <c r="G26" s="107">
        <f>2023-Tabla3[[#This Row],[Año]]</f>
        <v>2</v>
      </c>
      <c r="H26" s="107">
        <v>20</v>
      </c>
    </row>
    <row r="27" spans="1:8" x14ac:dyDescent="0.3">
      <c r="A27" s="11">
        <v>7</v>
      </c>
      <c r="B27" s="23" t="str">
        <f>VLOOKUP(A27,Tabla1[#All],2)</f>
        <v xml:space="preserve">Edwin Alberto Calderón Chaves </v>
      </c>
      <c r="C27" s="23" t="s">
        <v>788</v>
      </c>
      <c r="D27" s="24" t="str">
        <f>VLOOKUP(A27,Tabla1[#All],156)</f>
        <v>MOT586256</v>
      </c>
      <c r="E27" s="25" t="str">
        <f>VLOOKUP(A27,Tabla1[#All],157)</f>
        <v>MOTOCICLETA</v>
      </c>
      <c r="F27" s="15">
        <f>VLOOKUP(A27,Tabla1[#All],158)</f>
        <v>2017</v>
      </c>
      <c r="G27" s="26">
        <f>2023-Tabla3[[#This Row],[Año]]</f>
        <v>6</v>
      </c>
      <c r="H27" s="26">
        <v>5</v>
      </c>
    </row>
    <row r="28" spans="1:8" x14ac:dyDescent="0.3">
      <c r="A28" s="11">
        <v>7</v>
      </c>
      <c r="B28" s="23" t="str">
        <f>VLOOKUP(A28,Tabla1[#All],2)</f>
        <v xml:space="preserve">Edwin Alberto Calderón Chaves </v>
      </c>
      <c r="C28" s="23" t="s">
        <v>789</v>
      </c>
      <c r="D28" s="24" t="str">
        <f>VLOOKUP(A28,Tabla1[#All],166)</f>
        <v>MOT467278</v>
      </c>
      <c r="E28" s="25" t="str">
        <f>VLOOKUP(A28,Tabla1[#All],167)</f>
        <v>MOTOCICLETA</v>
      </c>
      <c r="F28" s="15">
        <f>VLOOKUP(A28,Tabla1[#All],168)</f>
        <v>2015</v>
      </c>
      <c r="G28" s="26">
        <f>2023-Tabla3[[#This Row],[Año]]</f>
        <v>8</v>
      </c>
      <c r="H28" s="26">
        <v>0</v>
      </c>
    </row>
    <row r="29" spans="1:8" x14ac:dyDescent="0.3">
      <c r="A29" s="11">
        <v>8</v>
      </c>
      <c r="B29" s="106" t="str">
        <f>VLOOKUP(A29,Tabla1[#All],2)</f>
        <v xml:space="preserve">Jorge Alberto Rodríguez Villalobos </v>
      </c>
      <c r="C29" s="106" t="s">
        <v>790</v>
      </c>
      <c r="D29" s="103" t="str">
        <f>VLOOKUP(A29,Tabla1[#All],156)</f>
        <v>CL210471</v>
      </c>
      <c r="E29" s="102" t="str">
        <f>VLOOKUP(A29,Tabla1[#All],157)</f>
        <v>VEHICULO</v>
      </c>
      <c r="F29" s="104">
        <f>VLOOKUP(A29,Tabla1[#All],158)</f>
        <v>2006</v>
      </c>
      <c r="G29" s="107">
        <f>2023-Tabla3[[#This Row],[Año]]</f>
        <v>17</v>
      </c>
      <c r="H29" s="107">
        <v>5</v>
      </c>
    </row>
    <row r="30" spans="1:8" x14ac:dyDescent="0.3">
      <c r="A30" s="11">
        <v>9</v>
      </c>
      <c r="B30" s="106" t="str">
        <f>VLOOKUP(A30,Tabla1[#All],2)</f>
        <v xml:space="preserve">Luis Andriani Orozco Rodríguez </v>
      </c>
      <c r="C30" s="106" t="s">
        <v>791</v>
      </c>
      <c r="D30" s="103" t="str">
        <f>VLOOKUP(A30,Tabla1[#All],156)</f>
        <v>MOT464499</v>
      </c>
      <c r="E30" s="102" t="str">
        <f>VLOOKUP(A30,Tabla1[#All],157)</f>
        <v>MOTOCICLETA</v>
      </c>
      <c r="F30" s="104">
        <f>VLOOKUP(A30,Tabla1[#All],158)</f>
        <v>2015</v>
      </c>
      <c r="G30" s="107">
        <f>2023-Tabla3[[#This Row],[Año]]</f>
        <v>8</v>
      </c>
      <c r="H30" s="107">
        <v>0</v>
      </c>
    </row>
    <row r="31" spans="1:8" x14ac:dyDescent="0.3">
      <c r="A31" s="11">
        <v>9</v>
      </c>
      <c r="B31" s="106" t="str">
        <f>VLOOKUP(A31,Tabla1[#All],2)</f>
        <v xml:space="preserve">Luis Andriani Orozco Rodríguez </v>
      </c>
      <c r="C31" s="106" t="s">
        <v>792</v>
      </c>
      <c r="D31" s="103" t="str">
        <f>VLOOKUP(A31,Tabla1[#All],166)</f>
        <v>MOT522312</v>
      </c>
      <c r="E31" s="102" t="str">
        <f>VLOOKUP(A31,Tabla1[#All],167)</f>
        <v>MOTOCICLETA</v>
      </c>
      <c r="F31" s="104">
        <f>VLOOKUP(A31,Tabla1[#All],168)</f>
        <v>2016</v>
      </c>
      <c r="G31" s="107">
        <f>2023-Tabla3[[#This Row],[Año]]</f>
        <v>7</v>
      </c>
      <c r="H31" s="107">
        <v>5</v>
      </c>
    </row>
    <row r="32" spans="1:8" x14ac:dyDescent="0.3">
      <c r="A32" s="11">
        <v>9</v>
      </c>
      <c r="B32" s="106" t="str">
        <f>VLOOKUP(A32,Tabla1[#All],2)</f>
        <v xml:space="preserve">Luis Andriani Orozco Rodríguez </v>
      </c>
      <c r="C32" s="106" t="s">
        <v>793</v>
      </c>
      <c r="D32" s="103" t="str">
        <f>VLOOKUP(A32,Tabla1[#All],176)</f>
        <v>MOT568853</v>
      </c>
      <c r="E32" s="102" t="str">
        <f>VLOOKUP(A32,Tabla1[#All],177)</f>
        <v>MOTOCICLETA</v>
      </c>
      <c r="F32" s="104">
        <f>VLOOKUP(A32,Tabla1[#All],178)</f>
        <v>2017</v>
      </c>
      <c r="G32" s="107">
        <f>2023-Tabla3[[#This Row],[Año]]</f>
        <v>6</v>
      </c>
      <c r="H32" s="107">
        <v>5</v>
      </c>
    </row>
    <row r="33" spans="1:8" x14ac:dyDescent="0.3">
      <c r="A33" s="11">
        <v>9</v>
      </c>
      <c r="B33" s="106" t="str">
        <f>VLOOKUP(A33,Tabla1[#All],2)</f>
        <v xml:space="preserve">Luis Andriani Orozco Rodríguez </v>
      </c>
      <c r="C33" s="106" t="s">
        <v>794</v>
      </c>
      <c r="D33" s="103" t="str">
        <f>VLOOKUP(A33,Tabla1[#All],186)</f>
        <v>MOT417162</v>
      </c>
      <c r="E33" s="102" t="str">
        <f>VLOOKUP(A33,Tabla1[#All],187)</f>
        <v>MOTOCICLETA</v>
      </c>
      <c r="F33" s="104">
        <f>VLOOKUP(A33,Tabla1[#All],188)</f>
        <v>2015</v>
      </c>
      <c r="G33" s="107">
        <f>2023-Tabla3[[#This Row],[Año]]</f>
        <v>8</v>
      </c>
      <c r="H33" s="107">
        <v>0</v>
      </c>
    </row>
    <row r="34" spans="1:8" x14ac:dyDescent="0.3">
      <c r="A34" s="11">
        <v>9</v>
      </c>
      <c r="B34" s="106" t="str">
        <f>VLOOKUP(A34,Tabla1[#All],2)</f>
        <v xml:space="preserve">Luis Andriani Orozco Rodríguez </v>
      </c>
      <c r="C34" s="106" t="s">
        <v>795</v>
      </c>
      <c r="D34" s="103" t="str">
        <f>VLOOKUP(A34,Tabla1[#All],196)</f>
        <v>137AGV1</v>
      </c>
      <c r="E34" s="102" t="str">
        <f>VLOOKUP(A34,Tabla1[#All],197)</f>
        <v>MOTOCICLETA</v>
      </c>
      <c r="F34" s="104">
        <f>VLOOKUP(A34,Tabla1[#All],198)</f>
        <v>2022</v>
      </c>
      <c r="G34" s="107">
        <f>2023-Tabla3[[#This Row],[Año]]</f>
        <v>1</v>
      </c>
      <c r="H34" s="107">
        <v>20</v>
      </c>
    </row>
    <row r="35" spans="1:8" x14ac:dyDescent="0.3">
      <c r="A35" s="11">
        <v>9</v>
      </c>
      <c r="B35" s="106" t="str">
        <f>VLOOKUP(A35,Tabla1[#All],2)</f>
        <v xml:space="preserve">Luis Andriani Orozco Rodríguez </v>
      </c>
      <c r="C35" s="106" t="s">
        <v>798</v>
      </c>
      <c r="D35" s="103" t="str">
        <f>VLOOKUP(A35,Tabla1[#All],206)</f>
        <v>MOT546422</v>
      </c>
      <c r="E35" s="102" t="str">
        <f>VLOOKUP(A35,Tabla1[#All],207)</f>
        <v>MOTOCICLETA</v>
      </c>
      <c r="F35" s="104">
        <f>VLOOKUP(A35,Tabla1[#All],208)</f>
        <v>2017</v>
      </c>
      <c r="G35" s="107">
        <f>2023-Tabla3[[#This Row],[Año]]</f>
        <v>6</v>
      </c>
      <c r="H35" s="107">
        <v>5</v>
      </c>
    </row>
    <row r="36" spans="1:8" x14ac:dyDescent="0.3">
      <c r="A36" s="11">
        <v>9</v>
      </c>
      <c r="B36" s="106" t="str">
        <f>VLOOKUP(A36,Tabla1[#All],2)</f>
        <v xml:space="preserve">Luis Andriani Orozco Rodríguez </v>
      </c>
      <c r="C36" s="106" t="s">
        <v>796</v>
      </c>
      <c r="D36" s="103" t="str">
        <f>VLOOKUP(A36,Tabla1[#All],216)</f>
        <v>MOT725731</v>
      </c>
      <c r="E36" s="102" t="str">
        <f>VLOOKUP(A36,Tabla1[#All],217)</f>
        <v>MOTOCICLETA</v>
      </c>
      <c r="F36" s="104">
        <f>VLOOKUP(A36,Tabla1[#All],218)</f>
        <v>2019</v>
      </c>
      <c r="G36" s="107">
        <f>2023-Tabla3[[#This Row],[Año]]</f>
        <v>4</v>
      </c>
      <c r="H36" s="107">
        <v>10</v>
      </c>
    </row>
    <row r="37" spans="1:8" x14ac:dyDescent="0.3">
      <c r="A37" s="11">
        <v>9</v>
      </c>
      <c r="B37" s="106" t="str">
        <f>VLOOKUP(A37,Tabla1[#All],2)</f>
        <v xml:space="preserve">Luis Andriani Orozco Rodríguez </v>
      </c>
      <c r="C37" s="106" t="s">
        <v>797</v>
      </c>
      <c r="D37" s="103" t="str">
        <f>VLOOKUP(A37,Tabla1[#All],226)</f>
        <v>MOT674851</v>
      </c>
      <c r="E37" s="102" t="str">
        <f>VLOOKUP(A37,Tabla1[#All],227)</f>
        <v>MOTOCICLETA</v>
      </c>
      <c r="F37" s="104">
        <f>VLOOKUP(A37,Tabla1[#All],228)</f>
        <v>2018</v>
      </c>
      <c r="G37" s="107">
        <f>2023-Tabla3[[#This Row],[Año]]</f>
        <v>5</v>
      </c>
      <c r="H37" s="107">
        <v>5</v>
      </c>
    </row>
    <row r="38" spans="1:8" x14ac:dyDescent="0.3">
      <c r="A38" s="11">
        <v>10</v>
      </c>
      <c r="B38" s="106" t="str">
        <f>VLOOKUP(A38,Tabla1[#All],2)</f>
        <v>Carlos Sanders Ávila</v>
      </c>
      <c r="C38" s="106" t="s">
        <v>799</v>
      </c>
      <c r="D38" s="103" t="str">
        <f>VLOOKUP(A38,Tabla1[#All],156)</f>
        <v>MOT789374</v>
      </c>
      <c r="E38" s="102" t="str">
        <f>VLOOKUP(A38,Tabla1[#All],157)</f>
        <v>MOTOCICLETA</v>
      </c>
      <c r="F38" s="104">
        <f>VLOOKUP(A38,Tabla1[#All],158)</f>
        <v>2022</v>
      </c>
      <c r="G38" s="107">
        <f>2023-Tabla3[[#This Row],[Año]]</f>
        <v>1</v>
      </c>
      <c r="H38" s="107">
        <v>20</v>
      </c>
    </row>
    <row r="39" spans="1:8" x14ac:dyDescent="0.3">
      <c r="A39" s="11">
        <v>10</v>
      </c>
      <c r="B39" s="106" t="str">
        <f>VLOOKUP(A39,Tabla1[#All],2)</f>
        <v>Carlos Sanders Ávila</v>
      </c>
      <c r="C39" s="106" t="s">
        <v>800</v>
      </c>
      <c r="D39" s="103" t="str">
        <f>VLOOKUP(A39,Tabla1[#All],166)</f>
        <v>MOT723839</v>
      </c>
      <c r="E39" s="102" t="str">
        <f>VLOOKUP(A39,Tabla1[#All],167)</f>
        <v>MOTOCICLETA</v>
      </c>
      <c r="F39" s="104">
        <f>VLOOKUP(A39,Tabla1[#All],168)</f>
        <v>2020</v>
      </c>
      <c r="G39" s="107">
        <f>2023-Tabla3[[#This Row],[Año]]</f>
        <v>3</v>
      </c>
      <c r="H39" s="107">
        <v>15</v>
      </c>
    </row>
    <row r="40" spans="1:8" x14ac:dyDescent="0.3">
      <c r="A40" s="11">
        <v>10</v>
      </c>
      <c r="B40" s="106" t="str">
        <f>VLOOKUP(A40,Tabla1[#All],2)</f>
        <v>Carlos Sanders Ávila</v>
      </c>
      <c r="C40" s="106" t="s">
        <v>801</v>
      </c>
      <c r="D40" s="103" t="str">
        <f>VLOOKUP(A40,Tabla1[#All],176)</f>
        <v>MOT455074</v>
      </c>
      <c r="E40" s="102" t="str">
        <f>VLOOKUP(A40,Tabla1[#All],177)</f>
        <v>MOTOCICLETA</v>
      </c>
      <c r="F40" s="104">
        <f>VLOOKUP(A40,Tabla1[#All],178)</f>
        <v>2015</v>
      </c>
      <c r="G40" s="107">
        <f>2023-Tabla3[[#This Row],[Año]]</f>
        <v>8</v>
      </c>
      <c r="H40" s="107">
        <v>0</v>
      </c>
    </row>
    <row r="41" spans="1:8" x14ac:dyDescent="0.3">
      <c r="A41" s="11">
        <v>10</v>
      </c>
      <c r="B41" s="102" t="str">
        <f>VLOOKUP(A41,Tabla1[#All],2)</f>
        <v>Carlos Sanders Ávila</v>
      </c>
      <c r="C41" s="102" t="s">
        <v>802</v>
      </c>
      <c r="D41" s="103" t="str">
        <f>VLOOKUP(A41,Tabla1[#All],186)</f>
        <v>MOT738511</v>
      </c>
      <c r="E41" s="102" t="str">
        <f>VLOOKUP(A41,Tabla1[#All],187)</f>
        <v>MOTOCICLETA</v>
      </c>
      <c r="F41" s="104">
        <f>VLOOKUP(A41,Tabla1[#All],188)</f>
        <v>2020</v>
      </c>
      <c r="G41" s="105">
        <f>2023-Tabla3[[#This Row],[Año]]</f>
        <v>3</v>
      </c>
      <c r="H41" s="105">
        <v>15</v>
      </c>
    </row>
    <row r="42" spans="1:8" x14ac:dyDescent="0.3">
      <c r="A42" s="11">
        <v>10</v>
      </c>
      <c r="B42" s="102" t="str">
        <f>VLOOKUP(A42,Tabla1[#All],2)</f>
        <v>Carlos Sanders Ávila</v>
      </c>
      <c r="C42" s="102" t="s">
        <v>803</v>
      </c>
      <c r="D42" s="103" t="str">
        <f>VLOOKUP(A42,Tabla1[#All],196)</f>
        <v>MOT738541</v>
      </c>
      <c r="E42" s="102" t="str">
        <f>VLOOKUP(A42,Tabla1[#All],197)</f>
        <v>MOTOCICLETA</v>
      </c>
      <c r="F42" s="104">
        <f>VLOOKUP(A42,Tabla1[#All],198)</f>
        <v>2021</v>
      </c>
      <c r="G42" s="105">
        <f>2023-Tabla3[[#This Row],[Año]]</f>
        <v>2</v>
      </c>
      <c r="H42" s="105">
        <v>20</v>
      </c>
    </row>
    <row r="43" spans="1:8" x14ac:dyDescent="0.3">
      <c r="A43" s="11">
        <v>11</v>
      </c>
      <c r="B43" s="106" t="str">
        <f>VLOOKUP(A43,Tabla1[#All],2)</f>
        <v>Alana Melinda Méndez Cerdas</v>
      </c>
      <c r="C43" s="106" t="s">
        <v>804</v>
      </c>
      <c r="D43" s="103" t="str">
        <f>VLOOKUP(A43,Tabla1[#All],156)</f>
        <v>BTX760</v>
      </c>
      <c r="E43" s="102" t="str">
        <f>VLOOKUP(A43,Tabla1[#All],157)</f>
        <v>AUTOMOVIL</v>
      </c>
      <c r="F43" s="104">
        <f>VLOOKUP(A43,Tabla1[#All],158)</f>
        <v>2021</v>
      </c>
      <c r="G43" s="107">
        <f>2023-Tabla3[[#This Row],[Año]]</f>
        <v>2</v>
      </c>
      <c r="H43" s="107">
        <v>20</v>
      </c>
    </row>
    <row r="44" spans="1:8" x14ac:dyDescent="0.3">
      <c r="A44" s="11">
        <v>11</v>
      </c>
      <c r="B44" s="106" t="str">
        <f>VLOOKUP(A44,Tabla1[#All],2)</f>
        <v>Alana Melinda Méndez Cerdas</v>
      </c>
      <c r="C44" s="106" t="s">
        <v>804</v>
      </c>
      <c r="D44" s="103" t="str">
        <f>VLOOKUP(A44,Tabla1[#All],166)</f>
        <v>BDN352</v>
      </c>
      <c r="E44" s="102" t="str">
        <f>VLOOKUP(A44,Tabla1[#All],167)</f>
        <v>AUTOMOVIL</v>
      </c>
      <c r="F44" s="104">
        <f>VLOOKUP(A44,Tabla1[#All],168)</f>
        <v>2008</v>
      </c>
      <c r="G44" s="107">
        <f>2023-Tabla3[[#This Row],[Año]]</f>
        <v>15</v>
      </c>
      <c r="H44" s="107">
        <v>10</v>
      </c>
    </row>
    <row r="45" spans="1:8" x14ac:dyDescent="0.3">
      <c r="A45" s="11">
        <v>12</v>
      </c>
      <c r="B45" s="106" t="str">
        <f>VLOOKUP(A45,Tabla1[#All],2)</f>
        <v>Alexander Miguel Molina Navarro</v>
      </c>
      <c r="C45" s="106" t="s">
        <v>805</v>
      </c>
      <c r="D45" s="103" t="str">
        <f>VLOOKUP(A45,Tabla1[#All],156)</f>
        <v>MOT349032</v>
      </c>
      <c r="E45" s="102" t="str">
        <f>VLOOKUP(A45,Tabla1[#All],157)</f>
        <v>MOTOCICLETA</v>
      </c>
      <c r="F45" s="104">
        <f>VLOOKUP(A45,Tabla1[#All],158)</f>
        <v>2012</v>
      </c>
      <c r="G45" s="107">
        <f>2023-Tabla3[[#This Row],[Año]]</f>
        <v>11</v>
      </c>
      <c r="H45" s="107">
        <v>0</v>
      </c>
    </row>
    <row r="46" spans="1:8" x14ac:dyDescent="0.3">
      <c r="A46" s="11">
        <v>13</v>
      </c>
      <c r="B46" s="106" t="str">
        <f>VLOOKUP(A46,Tabla1[#All],2)</f>
        <v>Alexander Yubel Umaña Mayorga</v>
      </c>
      <c r="C46" s="106" t="s">
        <v>806</v>
      </c>
      <c r="D46" s="103" t="str">
        <f>VLOOKUP(A46,Tabla1[#All],156)</f>
        <v>MOT694636</v>
      </c>
      <c r="E46" s="102" t="str">
        <f>VLOOKUP(A46,Tabla1[#All],157)</f>
        <v>MOTOCICLETA</v>
      </c>
      <c r="F46" s="104">
        <f>VLOOKUP(A46,Tabla1[#All],158)</f>
        <v>2019</v>
      </c>
      <c r="G46" s="107">
        <f>2023-Tabla3[[#This Row],[Año]]</f>
        <v>4</v>
      </c>
      <c r="H46" s="107">
        <v>10</v>
      </c>
    </row>
    <row r="47" spans="1:8" x14ac:dyDescent="0.3">
      <c r="A47" s="11">
        <v>13</v>
      </c>
      <c r="B47" s="106" t="str">
        <f>VLOOKUP(A47,Tabla1[#All],2)</f>
        <v>Alexander Yubel Umaña Mayorga</v>
      </c>
      <c r="C47" s="106" t="s">
        <v>806</v>
      </c>
      <c r="D47" s="103" t="str">
        <f>VLOOKUP(A47,Tabla1[#All],166)</f>
        <v>BTM190</v>
      </c>
      <c r="E47" s="102" t="str">
        <f>VLOOKUP(A47,Tabla1[#All],167)</f>
        <v>AUTOMOVIL</v>
      </c>
      <c r="F47" s="104">
        <f>VLOOKUP(A47,Tabla1[#All],168)</f>
        <v>2020</v>
      </c>
      <c r="G47" s="107">
        <f>2023-Tabla3[[#This Row],[Año]]</f>
        <v>3</v>
      </c>
      <c r="H47" s="107">
        <v>20</v>
      </c>
    </row>
    <row r="48" spans="1:8" x14ac:dyDescent="0.3">
      <c r="A48" s="11">
        <v>13</v>
      </c>
      <c r="B48" s="106" t="str">
        <f>VLOOKUP(A48,Tabla1[#All],2)</f>
        <v>Alexander Yubel Umaña Mayorga</v>
      </c>
      <c r="C48" s="106" t="s">
        <v>807</v>
      </c>
      <c r="D48" s="103" t="str">
        <f>VLOOKUP(A48,Tabla1[#All],176)</f>
        <v>MOT707527</v>
      </c>
      <c r="E48" s="102" t="str">
        <f>VLOOKUP(A48,Tabla1[#All],177)</f>
        <v>MOTOCICLETA</v>
      </c>
      <c r="F48" s="104">
        <f>VLOOKUP(A48,Tabla1[#All],178)</f>
        <v>2019</v>
      </c>
      <c r="G48" s="107">
        <f>2023-Tabla3[[#This Row],[Año]]</f>
        <v>4</v>
      </c>
      <c r="H48" s="107">
        <v>10</v>
      </c>
    </row>
    <row r="49" spans="1:8" x14ac:dyDescent="0.3">
      <c r="A49" s="5">
        <v>13</v>
      </c>
      <c r="B49" s="102" t="str">
        <f>VLOOKUP(A49,Tabla1[#All],2)</f>
        <v>Alexander Yubel Umaña Mayorga</v>
      </c>
      <c r="C49" s="106" t="s">
        <v>807</v>
      </c>
      <c r="D49" s="103" t="str">
        <f>VLOOKUP(A49,Tabla1[#All],186)</f>
        <v>BBL936</v>
      </c>
      <c r="E49" s="102" t="str">
        <f>VLOOKUP(A49,Tabla1[#All],187)</f>
        <v>VEHICULO</v>
      </c>
      <c r="F49" s="104">
        <f>VLOOKUP(A49,Tabla1[#All],188)</f>
        <v>2006</v>
      </c>
      <c r="G49" s="105">
        <f>2023-Tabla3[[#This Row],[Año]]</f>
        <v>17</v>
      </c>
      <c r="H49" s="105">
        <v>5</v>
      </c>
    </row>
    <row r="50" spans="1:8" x14ac:dyDescent="0.3">
      <c r="A50" s="5">
        <v>13</v>
      </c>
      <c r="B50" s="25" t="str">
        <f>VLOOKUP(A50,Tabla1[#All],2)</f>
        <v>Alexander Yubel Umaña Mayorga</v>
      </c>
      <c r="C50" s="25" t="s">
        <v>615</v>
      </c>
      <c r="D50" s="24" t="str">
        <f>VLOOKUP(A50,Tabla1[#All],196)</f>
        <v>BNY934</v>
      </c>
      <c r="E50" s="25" t="str">
        <f>VLOOKUP(A50,Tabla1[#All],197)</f>
        <v>AUTOMOVIL</v>
      </c>
      <c r="F50" s="15">
        <f>VLOOKUP(A50,Tabla1[#All],198)</f>
        <v>2014</v>
      </c>
      <c r="G50" s="28">
        <f>2023-Tabla3[[#This Row],[Año]]</f>
        <v>9</v>
      </c>
      <c r="H50" s="28">
        <v>15</v>
      </c>
    </row>
    <row r="51" spans="1:8" x14ac:dyDescent="0.3">
      <c r="A51" s="11">
        <v>13</v>
      </c>
      <c r="B51" s="23" t="str">
        <f>VLOOKUP(A51,Tabla1[#All],2)</f>
        <v>Alexander Yubel Umaña Mayorga</v>
      </c>
      <c r="C51" s="25" t="s">
        <v>808</v>
      </c>
      <c r="D51" s="24" t="str">
        <f>VLOOKUP(A51,Tabla1[#All],206)</f>
        <v>BFT949</v>
      </c>
      <c r="E51" s="25" t="str">
        <f>VLOOKUP(A51,Tabla1[#All],207)</f>
        <v>AUTOMOVIL</v>
      </c>
      <c r="F51" s="15">
        <f>VLOOKUP(A51,Tabla1[#All],208)</f>
        <v>2020</v>
      </c>
      <c r="G51" s="26">
        <f>2023-Tabla3[[#This Row],[Año]]</f>
        <v>3</v>
      </c>
      <c r="H51" s="26">
        <v>20</v>
      </c>
    </row>
    <row r="52" spans="1:8" x14ac:dyDescent="0.3">
      <c r="A52" s="11">
        <v>14</v>
      </c>
      <c r="B52" s="106" t="str">
        <f>VLOOKUP(A52,Tabla1[#All],2)</f>
        <v xml:space="preserve">Leda María Chacón González </v>
      </c>
      <c r="C52" s="106" t="s">
        <v>809</v>
      </c>
      <c r="D52" s="103" t="str">
        <f>VLOOKUP(A52,Tabla1[#All],156)</f>
        <v>MOT725139</v>
      </c>
      <c r="E52" s="102" t="str">
        <f>VLOOKUP(A52,Tabla1[#All],157)</f>
        <v>MOTOCICLETA</v>
      </c>
      <c r="F52" s="104">
        <f>VLOOKUP(A52,Tabla1[#All],158)</f>
        <v>2020</v>
      </c>
      <c r="G52" s="107">
        <f>2023-Tabla3[[#This Row],[Año]]</f>
        <v>3</v>
      </c>
      <c r="H52" s="107">
        <v>15</v>
      </c>
    </row>
    <row r="53" spans="1:8" x14ac:dyDescent="0.3">
      <c r="A53" s="11">
        <v>14</v>
      </c>
      <c r="B53" s="106" t="str">
        <f>VLOOKUP(A53,Tabla1[#All],2)</f>
        <v xml:space="preserve">Leda María Chacón González </v>
      </c>
      <c r="C53" s="106" t="s">
        <v>810</v>
      </c>
      <c r="D53" s="103" t="str">
        <f>VLOOKUP(A53,Tabla1[#All],166)</f>
        <v>BJY575</v>
      </c>
      <c r="E53" s="102" t="str">
        <f>VLOOKUP(A53,Tabla1[#All],167)</f>
        <v>VEHICULO</v>
      </c>
      <c r="F53" s="104">
        <f>VLOOKUP(A53,Tabla1[#All],168)</f>
        <v>2002</v>
      </c>
      <c r="G53" s="107">
        <f>2023-Tabla3[[#This Row],[Año]]</f>
        <v>21</v>
      </c>
      <c r="H53" s="107">
        <v>0</v>
      </c>
    </row>
    <row r="54" spans="1:8" x14ac:dyDescent="0.3">
      <c r="A54" s="11">
        <v>15</v>
      </c>
      <c r="B54" s="106" t="str">
        <f>VLOOKUP(A54,Tabla1[#All],2)</f>
        <v xml:space="preserve">Gerardo Fuentes Chavarría </v>
      </c>
      <c r="C54" s="106" t="s">
        <v>811</v>
      </c>
      <c r="D54" s="103" t="str">
        <f>VLOOKUP(A54,Tabla1[#All],156)</f>
        <v>MOT466609</v>
      </c>
      <c r="E54" s="102" t="str">
        <f>VLOOKUP(A54,Tabla1[#All],157)</f>
        <v>MOTOCICLETA</v>
      </c>
      <c r="F54" s="104">
        <f>VLOOKUP(A54,Tabla1[#All],158)</f>
        <v>2016</v>
      </c>
      <c r="G54" s="107">
        <f>2023-Tabla3[[#This Row],[Año]]</f>
        <v>7</v>
      </c>
      <c r="H54" s="107">
        <v>5</v>
      </c>
    </row>
    <row r="55" spans="1:8" x14ac:dyDescent="0.3">
      <c r="A55" s="11">
        <v>15</v>
      </c>
      <c r="B55" s="106" t="str">
        <f>VLOOKUP(A55,Tabla1[#All],2)</f>
        <v xml:space="preserve">Gerardo Fuentes Chavarría </v>
      </c>
      <c r="C55" s="106" t="s">
        <v>812</v>
      </c>
      <c r="D55" s="103" t="str">
        <f>VLOOKUP(A55,Tabla1[#All],166)</f>
        <v>MOT523454</v>
      </c>
      <c r="E55" s="102" t="str">
        <f>VLOOKUP(A55,Tabla1[#All],167)</f>
        <v>MOTOCICLETA</v>
      </c>
      <c r="F55" s="104">
        <f>VLOOKUP(A55,Tabla1[#All],168)</f>
        <v>2016</v>
      </c>
      <c r="G55" s="107">
        <f>2023-Tabla3[[#This Row],[Año]]</f>
        <v>7</v>
      </c>
      <c r="H55" s="107">
        <v>5</v>
      </c>
    </row>
    <row r="56" spans="1:8" x14ac:dyDescent="0.3">
      <c r="A56" s="11">
        <v>15</v>
      </c>
      <c r="B56" s="106" t="str">
        <f>VLOOKUP(A56,Tabla1[#All],2)</f>
        <v xml:space="preserve">Gerardo Fuentes Chavarría </v>
      </c>
      <c r="C56" s="106" t="s">
        <v>813</v>
      </c>
      <c r="D56" s="103" t="str">
        <f>VLOOKUP(A56,Tabla1[#All],176)</f>
        <v>MOT649057</v>
      </c>
      <c r="E56" s="102" t="str">
        <f>VLOOKUP(A56,Tabla1[#All],177)</f>
        <v>MOTOCICLETA</v>
      </c>
      <c r="F56" s="104">
        <f>VLOOKUP(A56,Tabla1[#All],178)</f>
        <v>2018</v>
      </c>
      <c r="G56" s="107">
        <f>2023-Tabla3[[#This Row],[Año]]</f>
        <v>5</v>
      </c>
      <c r="H56" s="107">
        <v>5</v>
      </c>
    </row>
    <row r="57" spans="1:8" x14ac:dyDescent="0.3">
      <c r="A57" s="11">
        <v>15</v>
      </c>
      <c r="B57" s="106" t="str">
        <f>VLOOKUP(A57,Tabla1[#All],2)</f>
        <v xml:space="preserve">Gerardo Fuentes Chavarría </v>
      </c>
      <c r="C57" s="106" t="s">
        <v>814</v>
      </c>
      <c r="D57" s="103" t="str">
        <f>VLOOKUP(A57,Tabla1[#All],186)</f>
        <v>MOT395928</v>
      </c>
      <c r="E57" s="102" t="str">
        <f>VLOOKUP(A57,Tabla1[#All],187)</f>
        <v>MOTOCICLETA</v>
      </c>
      <c r="F57" s="104">
        <f>VLOOKUP(A57,Tabla1[#All],188)</f>
        <v>2015</v>
      </c>
      <c r="G57" s="107">
        <f>2023-Tabla3[[#This Row],[Año]]</f>
        <v>8</v>
      </c>
      <c r="H57" s="107">
        <v>0</v>
      </c>
    </row>
    <row r="58" spans="1:8" x14ac:dyDescent="0.3">
      <c r="A58" s="11">
        <v>16</v>
      </c>
      <c r="B58" s="106" t="str">
        <f>VLOOKUP(A58,Tabla1[#All],2)</f>
        <v>Carmen Lidia Anchía Cerdas</v>
      </c>
      <c r="C58" s="106" t="s">
        <v>815</v>
      </c>
      <c r="D58" s="103" t="str">
        <f>VLOOKUP(A58,Tabla1[#All],156)</f>
        <v>BJS707</v>
      </c>
      <c r="E58" s="102" t="str">
        <f>VLOOKUP(A58,Tabla1[#All],157)</f>
        <v>VEHICULO</v>
      </c>
      <c r="F58" s="104">
        <f>VLOOKUP(A58,Tabla1[#All],158)</f>
        <v>2002</v>
      </c>
      <c r="G58" s="107">
        <f>2023-Tabla3[[#This Row],[Año]]</f>
        <v>21</v>
      </c>
      <c r="H58" s="107">
        <v>0</v>
      </c>
    </row>
    <row r="59" spans="1:8" x14ac:dyDescent="0.3">
      <c r="A59" s="11">
        <v>16</v>
      </c>
      <c r="B59" s="106" t="str">
        <f>VLOOKUP(A59,Tabla1[#All],2)</f>
        <v>Carmen Lidia Anchía Cerdas</v>
      </c>
      <c r="C59" s="106" t="s">
        <v>815</v>
      </c>
      <c r="D59" s="103">
        <f>VLOOKUP(A59,Tabla1[#All],166)</f>
        <v>428180</v>
      </c>
      <c r="E59" s="102" t="str">
        <f>VLOOKUP(A59,Tabla1[#All],167)</f>
        <v>VEHICULO</v>
      </c>
      <c r="F59" s="104">
        <f>VLOOKUP(A59,Tabla1[#All],168)</f>
        <v>2001</v>
      </c>
      <c r="G59" s="107">
        <f>2023-Tabla3[[#This Row],[Año]]</f>
        <v>22</v>
      </c>
      <c r="H59" s="107">
        <v>0</v>
      </c>
    </row>
    <row r="60" spans="1:8" x14ac:dyDescent="0.3">
      <c r="A60" s="11">
        <v>16</v>
      </c>
      <c r="B60" s="106" t="str">
        <f>VLOOKUP(A60,Tabla1[#All],2)</f>
        <v>Carmen Lidia Anchía Cerdas</v>
      </c>
      <c r="C60" s="106" t="s">
        <v>816</v>
      </c>
      <c r="D60" s="103" t="str">
        <f>VLOOKUP(A60,Tabla1[#All],176)</f>
        <v>MOT800073</v>
      </c>
      <c r="E60" s="102" t="str">
        <f>VLOOKUP(A60,Tabla1[#All],177)</f>
        <v>MOTOCICLETA</v>
      </c>
      <c r="F60" s="104">
        <f>VLOOKUP(A60,Tabla1[#All],178)</f>
        <v>2022</v>
      </c>
      <c r="G60" s="107">
        <f>2023-Tabla3[[#This Row],[Año]]</f>
        <v>1</v>
      </c>
      <c r="H60" s="107">
        <v>20</v>
      </c>
    </row>
    <row r="61" spans="1:8" x14ac:dyDescent="0.3">
      <c r="A61" s="11">
        <v>17</v>
      </c>
      <c r="B61" s="106" t="str">
        <f>VLOOKUP(A61,Tabla1[#All],2)</f>
        <v xml:space="preserve">Gustavo Alonso Segura Arias </v>
      </c>
      <c r="C61" s="106" t="s">
        <v>818</v>
      </c>
      <c r="D61" s="103" t="str">
        <f>VLOOKUP(A61,Tabla1[#All],156)</f>
        <v>MOT799510</v>
      </c>
      <c r="E61" s="102" t="str">
        <f>VLOOKUP(A61,Tabla1[#All],157)</f>
        <v>MOTOCICLETA</v>
      </c>
      <c r="F61" s="104">
        <f>VLOOKUP(A61,Tabla1[#All],158)</f>
        <v>2021</v>
      </c>
      <c r="G61" s="107">
        <f>2023-Tabla3[[#This Row],[Año]]</f>
        <v>2</v>
      </c>
      <c r="H61" s="107">
        <v>20</v>
      </c>
    </row>
    <row r="62" spans="1:8" x14ac:dyDescent="0.3">
      <c r="A62" s="11">
        <v>17</v>
      </c>
      <c r="B62" s="106" t="str">
        <f>VLOOKUP(A62,Tabla1[#All],2)</f>
        <v xml:space="preserve">Gustavo Alonso Segura Arias </v>
      </c>
      <c r="C62" s="106" t="s">
        <v>817</v>
      </c>
      <c r="D62" s="103" t="str">
        <f>VLOOKUP(A62,Tabla1[#All],166)</f>
        <v>MOT681905</v>
      </c>
      <c r="E62" s="102" t="str">
        <f>VLOOKUP(A62,Tabla1[#All],167)</f>
        <v>MOTOCICLETA</v>
      </c>
      <c r="F62" s="104">
        <f>VLOOKUP(A62,Tabla1[#All],168)</f>
        <v>2018</v>
      </c>
      <c r="G62" s="107">
        <f>2023-Tabla3[[#This Row],[Año]]</f>
        <v>5</v>
      </c>
      <c r="H62" s="107">
        <v>5</v>
      </c>
    </row>
    <row r="63" spans="1:8" x14ac:dyDescent="0.3">
      <c r="A63" s="11">
        <v>18</v>
      </c>
      <c r="B63" s="106" t="str">
        <f>VLOOKUP(A63,Tabla1[#All],2)</f>
        <v xml:space="preserve">Luis Felipe Cerdas Salazar </v>
      </c>
      <c r="C63" s="106" t="s">
        <v>819</v>
      </c>
      <c r="D63" s="103" t="str">
        <f>VLOOKUP(A63,Tabla1[#All],156)</f>
        <v>MOT607064</v>
      </c>
      <c r="E63" s="102" t="str">
        <f>VLOOKUP(A63,Tabla1[#All],157)</f>
        <v>MOTOCICLETA</v>
      </c>
      <c r="F63" s="104">
        <f>VLOOKUP(A63,Tabla1[#All],158)</f>
        <v>2017</v>
      </c>
      <c r="G63" s="107">
        <f>2023-Tabla3[[#This Row],[Año]]</f>
        <v>6</v>
      </c>
      <c r="H63" s="107">
        <v>5</v>
      </c>
    </row>
    <row r="64" spans="1:8" x14ac:dyDescent="0.3">
      <c r="A64" s="11">
        <v>18</v>
      </c>
      <c r="B64" s="102" t="str">
        <f>VLOOKUP(A64,Tabla1[#All],2)</f>
        <v xml:space="preserve">Luis Felipe Cerdas Salazar </v>
      </c>
      <c r="C64" s="102" t="s">
        <v>820</v>
      </c>
      <c r="D64" s="103" t="str">
        <f>VLOOKUP(A64,Tabla1[#All],166)</f>
        <v>MOT725897</v>
      </c>
      <c r="E64" s="102" t="str">
        <f>VLOOKUP(A64,Tabla1[#All],167)</f>
        <v>MOTOCICLETA</v>
      </c>
      <c r="F64" s="104">
        <f>VLOOKUP(A64,Tabla1[#All],168)</f>
        <v>2021</v>
      </c>
      <c r="G64" s="105">
        <f>2023-Tabla3[[#This Row],[Año]]</f>
        <v>2</v>
      </c>
      <c r="H64" s="105">
        <v>20</v>
      </c>
    </row>
    <row r="65" spans="1:8" x14ac:dyDescent="0.3">
      <c r="A65" s="11">
        <v>18</v>
      </c>
      <c r="B65" s="102" t="str">
        <f>VLOOKUP(A65,Tabla1[#All],2)</f>
        <v xml:space="preserve">Luis Felipe Cerdas Salazar </v>
      </c>
      <c r="C65" s="102" t="s">
        <v>821</v>
      </c>
      <c r="D65" s="103" t="str">
        <f>VLOOKUP(A65,Tabla1[#All],176)</f>
        <v>MOT701368</v>
      </c>
      <c r="E65" s="102" t="str">
        <f>VLOOKUP(A65,Tabla1[#All],177)</f>
        <v>MOTOCICLETA</v>
      </c>
      <c r="F65" s="104">
        <f>VLOOKUP(A65,Tabla1[#All],178)</f>
        <v>2018</v>
      </c>
      <c r="G65" s="105">
        <f>2023-Tabla3[[#This Row],[Año]]</f>
        <v>5</v>
      </c>
      <c r="H65" s="105">
        <v>5</v>
      </c>
    </row>
    <row r="66" spans="1:8" x14ac:dyDescent="0.3">
      <c r="A66" s="11">
        <v>18</v>
      </c>
      <c r="B66" s="106" t="str">
        <f>VLOOKUP(A66,Tabla1[#All],2)</f>
        <v xml:space="preserve">Luis Felipe Cerdas Salazar </v>
      </c>
      <c r="C66" s="106" t="s">
        <v>822</v>
      </c>
      <c r="D66" s="103" t="str">
        <f>VLOOKUP(A66,Tabla1[#All],186)</f>
        <v>MOT595684</v>
      </c>
      <c r="E66" s="102" t="str">
        <f>VLOOKUP(A66,Tabla1[#All],187)</f>
        <v>MOTOCICLETA</v>
      </c>
      <c r="F66" s="104">
        <f>VLOOKUP(A66,Tabla1[#All],188)</f>
        <v>2017</v>
      </c>
      <c r="G66" s="107">
        <f>2023-Tabla3[[#This Row],[Año]]</f>
        <v>6</v>
      </c>
      <c r="H66" s="107">
        <v>5</v>
      </c>
    </row>
    <row r="67" spans="1:8" x14ac:dyDescent="0.3">
      <c r="A67" s="11">
        <v>19</v>
      </c>
      <c r="B67" s="106" t="str">
        <f>VLOOKUP(A67,Tabla1[#All],2)</f>
        <v>Aunier José Sequeira Navarrete</v>
      </c>
      <c r="C67" s="106" t="s">
        <v>823</v>
      </c>
      <c r="D67" s="103">
        <f>VLOOKUP(A67,Tabla1[#All],156)</f>
        <v>645570</v>
      </c>
      <c r="E67" s="102" t="str">
        <f>VLOOKUP(A67,Tabla1[#All],157)</f>
        <v>VEHICULO</v>
      </c>
      <c r="F67" s="104">
        <f>VLOOKUP(A67,Tabla1[#All],158)</f>
        <v>2002</v>
      </c>
      <c r="G67" s="107">
        <f>2023-Tabla3[[#This Row],[Año]]</f>
        <v>21</v>
      </c>
      <c r="H67" s="107">
        <v>0</v>
      </c>
    </row>
  </sheetData>
  <phoneticPr fontId="5" type="noConversion"/>
  <conditionalFormatting sqref="H3:H67">
    <cfRule type="cellIs" dxfId="12" priority="1" operator="equal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0C9B0-6DF6-4D33-B7D7-B0C989EEC8CC}">
  <dimension ref="A1:C33"/>
  <sheetViews>
    <sheetView showGridLines="0" topLeftCell="A19" workbookViewId="0">
      <selection activeCell="D35" sqref="D35"/>
    </sheetView>
  </sheetViews>
  <sheetFormatPr baseColWidth="10" defaultRowHeight="14.5" x14ac:dyDescent="0.35"/>
  <cols>
    <col min="1" max="1" width="19.1796875" customWidth="1"/>
    <col min="2" max="2" width="29.54296875" customWidth="1"/>
    <col min="3" max="3" width="12.6328125" style="114" customWidth="1"/>
  </cols>
  <sheetData>
    <row r="1" spans="1:3" s="114" customFormat="1" ht="14" customHeight="1" x14ac:dyDescent="0.35">
      <c r="A1" s="132" t="s">
        <v>44</v>
      </c>
      <c r="B1" s="133" t="s">
        <v>841</v>
      </c>
      <c r="C1" s="123" t="s">
        <v>825</v>
      </c>
    </row>
    <row r="2" spans="1:3" x14ac:dyDescent="0.35">
      <c r="A2" s="127" t="s">
        <v>720</v>
      </c>
      <c r="B2" s="127" t="str">
        <f>'Evaluación Inspectores'!B58</f>
        <v xml:space="preserve">Luis Felipe Cerdas Salazar </v>
      </c>
      <c r="C2" s="128">
        <v>80.5</v>
      </c>
    </row>
    <row r="3" spans="1:3" x14ac:dyDescent="0.35">
      <c r="A3" s="127" t="s">
        <v>656</v>
      </c>
      <c r="B3" s="127" t="str">
        <f>'Evaluación Inspectores'!B50</f>
        <v xml:space="preserve">Gerardo Fuentes Chavarría </v>
      </c>
      <c r="C3" s="128">
        <v>66.75</v>
      </c>
    </row>
    <row r="4" spans="1:3" x14ac:dyDescent="0.35">
      <c r="A4" s="127" t="s">
        <v>826</v>
      </c>
      <c r="B4" s="127" t="str">
        <f>'Evaluación Inspectores'!B6</f>
        <v xml:space="preserve">Melvin Vargas Sandí </v>
      </c>
      <c r="C4" s="128">
        <v>55</v>
      </c>
    </row>
    <row r="5" spans="1:3" x14ac:dyDescent="0.35">
      <c r="A5" s="129" t="s">
        <v>827</v>
      </c>
      <c r="B5" s="127" t="str">
        <f>'Evaluación Inspectores'!B23</f>
        <v>Edmundo Pacheco Ramírez</v>
      </c>
      <c r="C5" s="128">
        <v>60</v>
      </c>
    </row>
    <row r="6" spans="1:3" x14ac:dyDescent="0.35">
      <c r="A6" s="127" t="s">
        <v>302</v>
      </c>
      <c r="B6" s="127" t="str">
        <f>'Evaluación Inspectores'!B8</f>
        <v xml:space="preserve">Melvin Vargas Sandí </v>
      </c>
      <c r="C6" s="128">
        <v>75.25</v>
      </c>
    </row>
    <row r="7" spans="1:3" x14ac:dyDescent="0.35">
      <c r="A7" s="127" t="s">
        <v>828</v>
      </c>
      <c r="B7" s="127" t="str">
        <f>'Evaluación Inspectores'!B12</f>
        <v xml:space="preserve">Melvin Vargas Sandí </v>
      </c>
      <c r="C7" s="128">
        <v>98</v>
      </c>
    </row>
    <row r="8" spans="1:3" x14ac:dyDescent="0.35">
      <c r="A8" s="127" t="s">
        <v>829</v>
      </c>
      <c r="B8" s="127" t="str">
        <f>'Evaluación Inspectores'!B21</f>
        <v>Edmundo Pacheco Ramírez</v>
      </c>
      <c r="C8" s="128">
        <v>85.5</v>
      </c>
    </row>
    <row r="9" spans="1:3" x14ac:dyDescent="0.35">
      <c r="A9" s="127" t="s">
        <v>830</v>
      </c>
      <c r="B9" s="127" t="str">
        <f>'Evaluación Inspectores'!B48</f>
        <v xml:space="preserve">Leda María Chacón González </v>
      </c>
      <c r="C9" s="128">
        <v>71.5</v>
      </c>
    </row>
    <row r="10" spans="1:3" x14ac:dyDescent="0.35">
      <c r="A10" s="127" t="s">
        <v>831</v>
      </c>
      <c r="B10" s="127" t="str">
        <f>'Evaluación Inspectores'!B5</f>
        <v>Pablo Araya Romero</v>
      </c>
      <c r="C10" s="128">
        <v>85</v>
      </c>
    </row>
    <row r="11" spans="1:3" x14ac:dyDescent="0.35">
      <c r="A11" s="127" t="s">
        <v>479</v>
      </c>
      <c r="B11" s="127" t="str">
        <f>'Evaluación Inspectores'!B28</f>
        <v xml:space="preserve">Luis Andriani Orozco Rodríguez </v>
      </c>
      <c r="C11" s="128">
        <v>65</v>
      </c>
    </row>
    <row r="12" spans="1:3" x14ac:dyDescent="0.35">
      <c r="A12" s="127" t="s">
        <v>377</v>
      </c>
      <c r="B12" s="127" t="str">
        <f>'Evaluación Inspectores'!B17</f>
        <v xml:space="preserve">Marcela Arias Salas </v>
      </c>
      <c r="C12" s="128">
        <v>77</v>
      </c>
    </row>
    <row r="13" spans="1:3" x14ac:dyDescent="0.35">
      <c r="A13" s="129" t="s">
        <v>832</v>
      </c>
      <c r="B13" s="127" t="str">
        <f>'Evaluación Inspectores'!B54</f>
        <v>Carmen Lidia Anchía Cerdas</v>
      </c>
      <c r="C13" s="128">
        <v>85.5</v>
      </c>
    </row>
    <row r="14" spans="1:3" x14ac:dyDescent="0.35">
      <c r="A14" s="127" t="s">
        <v>833</v>
      </c>
      <c r="B14" s="127" t="str">
        <f>'Evaluación Inspectores'!B18</f>
        <v xml:space="preserve">Marcela Arias Salas </v>
      </c>
      <c r="C14" s="128">
        <v>87.5</v>
      </c>
    </row>
    <row r="15" spans="1:3" x14ac:dyDescent="0.35">
      <c r="A15" s="127" t="s">
        <v>834</v>
      </c>
      <c r="B15" s="127" t="str">
        <f>'Evaluación Inspectores'!B20</f>
        <v xml:space="preserve">Marcela Arias Salas </v>
      </c>
      <c r="C15" s="128">
        <v>80</v>
      </c>
    </row>
    <row r="16" spans="1:3" x14ac:dyDescent="0.35">
      <c r="A16" s="127" t="s">
        <v>835</v>
      </c>
      <c r="B16" s="127" t="str">
        <f>'Evaluación Inspectores'!B3</f>
        <v>Luis Antonio Zeledón Prendas</v>
      </c>
      <c r="C16" s="128">
        <v>82.5</v>
      </c>
    </row>
    <row r="17" spans="1:3" x14ac:dyDescent="0.35">
      <c r="A17" s="127" t="s">
        <v>250</v>
      </c>
      <c r="B17" s="127" t="str">
        <f>'Evaluación Inspectores'!B2</f>
        <v>Luis Antonio Zeledón Prendas</v>
      </c>
      <c r="C17" s="128">
        <v>82</v>
      </c>
    </row>
    <row r="18" spans="1:3" x14ac:dyDescent="0.35">
      <c r="A18" s="127" t="s">
        <v>442</v>
      </c>
      <c r="B18" s="127" t="str">
        <f>'Evaluación Inspectores'!B31</f>
        <v xml:space="preserve">Luis Andriani Orozco Rodríguez </v>
      </c>
      <c r="C18" s="128">
        <v>82.5</v>
      </c>
    </row>
    <row r="19" spans="1:3" x14ac:dyDescent="0.35">
      <c r="A19" s="124" t="s">
        <v>442</v>
      </c>
      <c r="B19" s="124" t="str">
        <f>'Evaluación Inspectores'!B25</f>
        <v xml:space="preserve">Edwin Alberto Calderón Chaves </v>
      </c>
      <c r="C19" s="125">
        <v>77</v>
      </c>
    </row>
    <row r="20" spans="1:3" x14ac:dyDescent="0.35">
      <c r="A20" s="127" t="s">
        <v>481</v>
      </c>
      <c r="B20" s="127" t="str">
        <f>'Evaluación Inspectores'!B33</f>
        <v xml:space="preserve">Luis Andriani Orozco Rodríguez </v>
      </c>
      <c r="C20" s="128">
        <v>57.67</v>
      </c>
    </row>
    <row r="21" spans="1:3" x14ac:dyDescent="0.35">
      <c r="A21" s="129" t="s">
        <v>348</v>
      </c>
      <c r="B21" s="127" t="str">
        <f>'Evaluación Inspectores'!B15</f>
        <v xml:space="preserve">José Gerardo Cortes Araya </v>
      </c>
      <c r="C21" s="128">
        <v>89.5</v>
      </c>
    </row>
    <row r="22" spans="1:3" x14ac:dyDescent="0.35">
      <c r="A22" s="126" t="s">
        <v>348</v>
      </c>
      <c r="B22" s="124" t="str">
        <f>'Evaluación Inspectores'!B46</f>
        <v>Alexander Yubel Umaña Mayorga</v>
      </c>
      <c r="C22" s="125">
        <v>20</v>
      </c>
    </row>
    <row r="23" spans="1:3" x14ac:dyDescent="0.35">
      <c r="A23" s="127" t="s">
        <v>346</v>
      </c>
      <c r="B23" s="127" t="str">
        <f>'Evaluación Inspectores'!B13</f>
        <v xml:space="preserve">José Gerardo Cortes Araya </v>
      </c>
      <c r="C23" s="128">
        <v>62</v>
      </c>
    </row>
    <row r="24" spans="1:3" x14ac:dyDescent="0.35">
      <c r="A24" s="127" t="s">
        <v>600</v>
      </c>
      <c r="B24" s="127" t="str">
        <f>'Evaluación Inspectores'!B45</f>
        <v>Alexander Yubel Umaña Mayorga</v>
      </c>
      <c r="C24" s="128">
        <v>86</v>
      </c>
    </row>
    <row r="25" spans="1:3" x14ac:dyDescent="0.35">
      <c r="A25" s="127" t="s">
        <v>347</v>
      </c>
      <c r="B25" s="127" t="str">
        <f>'Evaluación Inspectores'!B14</f>
        <v xml:space="preserve">José Gerardo Cortes Araya </v>
      </c>
      <c r="C25" s="128">
        <v>93</v>
      </c>
    </row>
    <row r="26" spans="1:3" x14ac:dyDescent="0.35">
      <c r="A26" s="127" t="s">
        <v>601</v>
      </c>
      <c r="B26" s="127" t="str">
        <f>'Evaluación Inspectores'!B44</f>
        <v>Alexander Yubel Umaña Mayorga</v>
      </c>
      <c r="C26" s="128">
        <v>98</v>
      </c>
    </row>
    <row r="27" spans="1:3" x14ac:dyDescent="0.35">
      <c r="A27" s="127" t="s">
        <v>836</v>
      </c>
      <c r="B27" s="127" t="str">
        <f>'Evaluación Inspectores'!B27</f>
        <v xml:space="preserve">Jorge Alberto Rodríguez Villalobos </v>
      </c>
      <c r="C27" s="128">
        <v>81</v>
      </c>
    </row>
    <row r="28" spans="1:3" x14ac:dyDescent="0.35">
      <c r="A28" s="127" t="s">
        <v>568</v>
      </c>
      <c r="B28" s="127" t="str">
        <f>'Evaluación Inspectores'!B41</f>
        <v>Alana Melinda Méndez Cerdas</v>
      </c>
      <c r="C28" s="128">
        <v>91.5</v>
      </c>
    </row>
    <row r="29" spans="1:3" x14ac:dyDescent="0.35">
      <c r="A29" s="127" t="s">
        <v>837</v>
      </c>
      <c r="B29" s="127" t="str">
        <f>'Evaluación Inspectores'!B56</f>
        <v xml:space="preserve">Gustavo Alonso Segura Arias </v>
      </c>
      <c r="C29" s="128">
        <v>90.5</v>
      </c>
    </row>
    <row r="30" spans="1:3" x14ac:dyDescent="0.35">
      <c r="A30" s="127" t="s">
        <v>838</v>
      </c>
      <c r="B30" s="127" t="str">
        <f>'Evaluación Inspectores'!B43</f>
        <v>Alexander Miguel Molina Navarro</v>
      </c>
      <c r="C30" s="128">
        <v>70</v>
      </c>
    </row>
    <row r="31" spans="1:3" x14ac:dyDescent="0.35">
      <c r="A31" s="127" t="s">
        <v>839</v>
      </c>
      <c r="B31" s="127" t="str">
        <f>'Evaluación Inspectores'!B62</f>
        <v>Aunier José Sequeira Navarrete</v>
      </c>
      <c r="C31" s="128">
        <v>77</v>
      </c>
    </row>
    <row r="32" spans="1:3" x14ac:dyDescent="0.35">
      <c r="A32" s="127" t="s">
        <v>530</v>
      </c>
      <c r="B32" s="127" t="str">
        <f>'Evaluación Inspectores'!B36</f>
        <v>Carlos Sanders Ávila</v>
      </c>
      <c r="C32" s="128">
        <v>77.5</v>
      </c>
    </row>
    <row r="33" spans="1:3" x14ac:dyDescent="0.35">
      <c r="A33" s="130" t="s">
        <v>840</v>
      </c>
      <c r="B33" s="130" t="str">
        <f>'Evaluación Inspectores'!B38</f>
        <v>Carlos Sanders Ávila</v>
      </c>
      <c r="C33" s="131">
        <v>87.33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7BA7-A43F-4452-98B2-8C72F15F72A6}">
  <dimension ref="A1:F66"/>
  <sheetViews>
    <sheetView showGridLines="0" tabSelected="1" topLeftCell="A60" workbookViewId="0">
      <selection activeCell="D2" sqref="D2:D5"/>
    </sheetView>
  </sheetViews>
  <sheetFormatPr baseColWidth="10" defaultRowHeight="14.5" x14ac:dyDescent="0.35"/>
  <cols>
    <col min="1" max="1" width="17.26953125" customWidth="1"/>
    <col min="2" max="2" width="29.1796875" customWidth="1"/>
    <col min="3" max="3" width="33.08984375" customWidth="1"/>
    <col min="4" max="4" width="40.08984375" style="114" customWidth="1"/>
  </cols>
  <sheetData>
    <row r="1" spans="1:4" x14ac:dyDescent="0.35">
      <c r="A1" s="117" t="s">
        <v>842</v>
      </c>
      <c r="B1" s="117" t="s">
        <v>9</v>
      </c>
      <c r="C1" s="120" t="s">
        <v>824</v>
      </c>
    </row>
    <row r="2" spans="1:4" x14ac:dyDescent="0.35">
      <c r="A2" s="118" t="s">
        <v>859</v>
      </c>
      <c r="B2" s="118" t="s">
        <v>717</v>
      </c>
      <c r="C2" s="118" t="s">
        <v>843</v>
      </c>
      <c r="D2" s="153">
        <v>1</v>
      </c>
    </row>
    <row r="3" spans="1:4" x14ac:dyDescent="0.35">
      <c r="A3" s="118" t="s">
        <v>859</v>
      </c>
      <c r="B3" s="118" t="s">
        <v>717</v>
      </c>
      <c r="C3" s="118" t="s">
        <v>820</v>
      </c>
      <c r="D3" s="153"/>
    </row>
    <row r="4" spans="1:4" x14ac:dyDescent="0.35">
      <c r="A4" s="118" t="s">
        <v>859</v>
      </c>
      <c r="B4" s="118" t="s">
        <v>717</v>
      </c>
      <c r="C4" s="118" t="s">
        <v>821</v>
      </c>
      <c r="D4" s="153"/>
    </row>
    <row r="5" spans="1:4" x14ac:dyDescent="0.35">
      <c r="A5" s="118" t="s">
        <v>859</v>
      </c>
      <c r="B5" s="118" t="s">
        <v>717</v>
      </c>
      <c r="C5" s="118" t="s">
        <v>822</v>
      </c>
      <c r="D5" s="153"/>
    </row>
    <row r="6" spans="1:4" x14ac:dyDescent="0.35">
      <c r="A6" s="118" t="s">
        <v>860</v>
      </c>
      <c r="B6" s="118" t="s">
        <v>653</v>
      </c>
      <c r="C6" s="118" t="s">
        <v>811</v>
      </c>
      <c r="D6" s="153">
        <v>2</v>
      </c>
    </row>
    <row r="7" spans="1:4" x14ac:dyDescent="0.35">
      <c r="A7" s="118" t="s">
        <v>860</v>
      </c>
      <c r="B7" s="118" t="s">
        <v>653</v>
      </c>
      <c r="C7" s="118" t="s">
        <v>812</v>
      </c>
      <c r="D7" s="153"/>
    </row>
    <row r="8" spans="1:4" x14ac:dyDescent="0.35">
      <c r="A8" s="118" t="s">
        <v>860</v>
      </c>
      <c r="B8" s="118" t="s">
        <v>653</v>
      </c>
      <c r="C8" s="118" t="s">
        <v>813</v>
      </c>
      <c r="D8" s="153"/>
    </row>
    <row r="9" spans="1:4" x14ac:dyDescent="0.35">
      <c r="A9" s="118" t="s">
        <v>860</v>
      </c>
      <c r="B9" s="118" t="s">
        <v>653</v>
      </c>
      <c r="C9" s="118" t="s">
        <v>814</v>
      </c>
      <c r="D9" s="153"/>
    </row>
    <row r="10" spans="1:4" x14ac:dyDescent="0.35">
      <c r="A10" s="118" t="s">
        <v>826</v>
      </c>
      <c r="B10" s="118" t="s">
        <v>298</v>
      </c>
      <c r="C10" s="118" t="s">
        <v>774</v>
      </c>
      <c r="D10" s="153">
        <v>3</v>
      </c>
    </row>
    <row r="11" spans="1:4" x14ac:dyDescent="0.35">
      <c r="A11" s="118" t="s">
        <v>826</v>
      </c>
      <c r="B11" s="118" t="s">
        <v>298</v>
      </c>
      <c r="C11" s="118" t="s">
        <v>773</v>
      </c>
      <c r="D11" s="153"/>
    </row>
    <row r="12" spans="1:4" x14ac:dyDescent="0.35">
      <c r="A12" s="118" t="s">
        <v>827</v>
      </c>
      <c r="B12" s="118" t="s">
        <v>404</v>
      </c>
      <c r="C12" s="118" t="s">
        <v>844</v>
      </c>
      <c r="D12" s="153">
        <v>4</v>
      </c>
    </row>
    <row r="13" spans="1:4" x14ac:dyDescent="0.35">
      <c r="A13" s="118" t="s">
        <v>827</v>
      </c>
      <c r="B13" s="118" t="s">
        <v>404</v>
      </c>
      <c r="C13" s="118" t="s">
        <v>845</v>
      </c>
      <c r="D13" s="153"/>
    </row>
    <row r="14" spans="1:4" x14ac:dyDescent="0.35">
      <c r="A14" s="118" t="s">
        <v>302</v>
      </c>
      <c r="B14" s="118" t="s">
        <v>298</v>
      </c>
      <c r="C14" s="118" t="s">
        <v>775</v>
      </c>
      <c r="D14" s="153">
        <v>5</v>
      </c>
    </row>
    <row r="15" spans="1:4" x14ac:dyDescent="0.35">
      <c r="A15" s="118" t="s">
        <v>302</v>
      </c>
      <c r="B15" s="118" t="s">
        <v>298</v>
      </c>
      <c r="C15" s="118" t="s">
        <v>776</v>
      </c>
      <c r="D15" s="153"/>
    </row>
    <row r="16" spans="1:4" x14ac:dyDescent="0.35">
      <c r="A16" s="118" t="s">
        <v>302</v>
      </c>
      <c r="B16" s="118" t="s">
        <v>298</v>
      </c>
      <c r="C16" s="118" t="s">
        <v>777</v>
      </c>
      <c r="D16" s="153"/>
    </row>
    <row r="17" spans="1:4" x14ac:dyDescent="0.35">
      <c r="A17" s="118" t="s">
        <v>302</v>
      </c>
      <c r="B17" s="118" t="s">
        <v>298</v>
      </c>
      <c r="C17" s="118" t="s">
        <v>778</v>
      </c>
      <c r="D17" s="153"/>
    </row>
    <row r="18" spans="1:4" x14ac:dyDescent="0.35">
      <c r="A18" s="119" t="s">
        <v>828</v>
      </c>
      <c r="B18" s="119" t="s">
        <v>298</v>
      </c>
      <c r="C18" s="119" t="s">
        <v>846</v>
      </c>
      <c r="D18" s="115">
        <v>6</v>
      </c>
    </row>
    <row r="19" spans="1:4" x14ac:dyDescent="0.35">
      <c r="A19" s="118" t="s">
        <v>861</v>
      </c>
      <c r="B19" s="118" t="s">
        <v>404</v>
      </c>
      <c r="C19" s="118" t="s">
        <v>847</v>
      </c>
      <c r="D19" s="153">
        <v>7</v>
      </c>
    </row>
    <row r="20" spans="1:4" x14ac:dyDescent="0.35">
      <c r="A20" s="118" t="s">
        <v>861</v>
      </c>
      <c r="B20" s="118" t="s">
        <v>404</v>
      </c>
      <c r="C20" s="118" t="s">
        <v>848</v>
      </c>
      <c r="D20" s="153"/>
    </row>
    <row r="21" spans="1:4" x14ac:dyDescent="0.35">
      <c r="A21" s="118" t="s">
        <v>862</v>
      </c>
      <c r="B21" s="118" t="s">
        <v>635</v>
      </c>
      <c r="C21" s="118" t="s">
        <v>809</v>
      </c>
      <c r="D21" s="153">
        <v>8</v>
      </c>
    </row>
    <row r="22" spans="1:4" x14ac:dyDescent="0.35">
      <c r="A22" s="118" t="s">
        <v>862</v>
      </c>
      <c r="B22" s="118" t="s">
        <v>635</v>
      </c>
      <c r="C22" s="118" t="s">
        <v>849</v>
      </c>
      <c r="D22" s="153"/>
    </row>
    <row r="23" spans="1:4" x14ac:dyDescent="0.35">
      <c r="A23" s="119" t="s">
        <v>831</v>
      </c>
      <c r="B23" s="119" t="s">
        <v>283</v>
      </c>
      <c r="C23" s="119" t="s">
        <v>283</v>
      </c>
      <c r="D23" s="115">
        <v>9</v>
      </c>
    </row>
    <row r="24" spans="1:4" x14ac:dyDescent="0.35">
      <c r="A24" s="118" t="s">
        <v>863</v>
      </c>
      <c r="B24" s="118" t="s">
        <v>476</v>
      </c>
      <c r="C24" s="118" t="s">
        <v>791</v>
      </c>
      <c r="D24" s="153">
        <v>10</v>
      </c>
    </row>
    <row r="25" spans="1:4" x14ac:dyDescent="0.35">
      <c r="A25" s="118" t="s">
        <v>863</v>
      </c>
      <c r="B25" s="118" t="s">
        <v>476</v>
      </c>
      <c r="C25" s="118" t="s">
        <v>792</v>
      </c>
      <c r="D25" s="153"/>
    </row>
    <row r="26" spans="1:4" x14ac:dyDescent="0.35">
      <c r="A26" s="118" t="s">
        <v>863</v>
      </c>
      <c r="B26" s="118" t="s">
        <v>476</v>
      </c>
      <c r="C26" s="118" t="s">
        <v>793</v>
      </c>
      <c r="D26" s="153"/>
    </row>
    <row r="27" spans="1:4" x14ac:dyDescent="0.35">
      <c r="A27" s="118" t="s">
        <v>377</v>
      </c>
      <c r="B27" s="118" t="s">
        <v>372</v>
      </c>
      <c r="C27" s="118" t="s">
        <v>783</v>
      </c>
      <c r="D27" s="114">
        <v>11</v>
      </c>
    </row>
    <row r="28" spans="1:4" x14ac:dyDescent="0.35">
      <c r="A28" s="118" t="s">
        <v>832</v>
      </c>
      <c r="B28" s="118" t="s">
        <v>680</v>
      </c>
      <c r="C28" s="118" t="s">
        <v>815</v>
      </c>
      <c r="D28" s="153">
        <v>12</v>
      </c>
    </row>
    <row r="29" spans="1:4" x14ac:dyDescent="0.35">
      <c r="A29" s="118" t="s">
        <v>832</v>
      </c>
      <c r="B29" s="118" t="s">
        <v>680</v>
      </c>
      <c r="C29" s="118" t="s">
        <v>816</v>
      </c>
      <c r="D29" s="153"/>
    </row>
    <row r="30" spans="1:4" x14ac:dyDescent="0.35">
      <c r="A30" s="118" t="s">
        <v>376</v>
      </c>
      <c r="B30" s="118" t="s">
        <v>372</v>
      </c>
      <c r="C30" s="118" t="s">
        <v>380</v>
      </c>
      <c r="D30" s="153">
        <v>13</v>
      </c>
    </row>
    <row r="31" spans="1:4" x14ac:dyDescent="0.35">
      <c r="A31" s="118" t="s">
        <v>376</v>
      </c>
      <c r="B31" s="118" t="s">
        <v>372</v>
      </c>
      <c r="C31" s="118" t="s">
        <v>784</v>
      </c>
      <c r="D31" s="153"/>
    </row>
    <row r="32" spans="1:4" x14ac:dyDescent="0.35">
      <c r="A32" s="118" t="s">
        <v>834</v>
      </c>
      <c r="B32" s="118" t="s">
        <v>372</v>
      </c>
      <c r="C32" s="118" t="s">
        <v>850</v>
      </c>
      <c r="D32" s="114">
        <v>14</v>
      </c>
    </row>
    <row r="33" spans="1:4" x14ac:dyDescent="0.35">
      <c r="A33" s="118" t="s">
        <v>835</v>
      </c>
      <c r="B33" s="118" t="s">
        <v>244</v>
      </c>
      <c r="C33" s="118" t="s">
        <v>851</v>
      </c>
      <c r="D33" s="153">
        <v>15</v>
      </c>
    </row>
    <row r="34" spans="1:4" x14ac:dyDescent="0.35">
      <c r="A34" s="118" t="s">
        <v>835</v>
      </c>
      <c r="B34" s="118" t="s">
        <v>244</v>
      </c>
      <c r="C34" s="118" t="s">
        <v>852</v>
      </c>
      <c r="D34" s="153"/>
    </row>
    <row r="35" spans="1:4" ht="12.5" customHeight="1" x14ac:dyDescent="0.35">
      <c r="A35" s="119" t="s">
        <v>250</v>
      </c>
      <c r="B35" s="119" t="s">
        <v>244</v>
      </c>
      <c r="C35" s="119" t="s">
        <v>244</v>
      </c>
      <c r="D35" s="115">
        <v>16</v>
      </c>
    </row>
    <row r="36" spans="1:4" x14ac:dyDescent="0.35">
      <c r="A36" s="118" t="s">
        <v>864</v>
      </c>
      <c r="B36" s="118" t="s">
        <v>476</v>
      </c>
      <c r="C36" s="118" t="s">
        <v>853</v>
      </c>
      <c r="D36" s="153">
        <v>17</v>
      </c>
    </row>
    <row r="37" spans="1:4" x14ac:dyDescent="0.35">
      <c r="A37" s="118" t="s">
        <v>864</v>
      </c>
      <c r="B37" s="118" t="s">
        <v>476</v>
      </c>
      <c r="C37" s="118" t="s">
        <v>795</v>
      </c>
      <c r="D37" s="153"/>
    </row>
    <row r="38" spans="1:4" x14ac:dyDescent="0.35">
      <c r="A38" s="118" t="s">
        <v>481</v>
      </c>
      <c r="B38" s="118" t="s">
        <v>476</v>
      </c>
      <c r="C38" s="118" t="s">
        <v>854</v>
      </c>
      <c r="D38" s="153">
        <v>18</v>
      </c>
    </row>
    <row r="39" spans="1:4" x14ac:dyDescent="0.35">
      <c r="A39" s="118" t="s">
        <v>481</v>
      </c>
      <c r="B39" s="118" t="s">
        <v>476</v>
      </c>
      <c r="C39" s="118" t="s">
        <v>796</v>
      </c>
      <c r="D39" s="153"/>
    </row>
    <row r="40" spans="1:4" x14ac:dyDescent="0.35">
      <c r="A40" s="118" t="s">
        <v>481</v>
      </c>
      <c r="B40" s="118" t="s">
        <v>476</v>
      </c>
      <c r="C40" s="118" t="s">
        <v>855</v>
      </c>
      <c r="D40" s="153"/>
    </row>
    <row r="41" spans="1:4" x14ac:dyDescent="0.35">
      <c r="A41" s="118" t="s">
        <v>348</v>
      </c>
      <c r="B41" s="118" t="s">
        <v>342</v>
      </c>
      <c r="C41" s="118" t="s">
        <v>782</v>
      </c>
      <c r="D41" s="153">
        <v>19</v>
      </c>
    </row>
    <row r="42" spans="1:4" x14ac:dyDescent="0.35">
      <c r="A42" s="118" t="s">
        <v>348</v>
      </c>
      <c r="B42" s="118" t="s">
        <v>342</v>
      </c>
      <c r="C42" s="118" t="s">
        <v>856</v>
      </c>
      <c r="D42" s="153"/>
    </row>
    <row r="43" spans="1:4" x14ac:dyDescent="0.35">
      <c r="A43" s="118" t="s">
        <v>865</v>
      </c>
      <c r="B43" s="118" t="s">
        <v>342</v>
      </c>
      <c r="C43" s="118" t="s">
        <v>779</v>
      </c>
      <c r="D43" s="114">
        <v>20</v>
      </c>
    </row>
    <row r="44" spans="1:4" x14ac:dyDescent="0.35">
      <c r="A44" s="118" t="s">
        <v>600</v>
      </c>
      <c r="B44" s="118" t="s">
        <v>597</v>
      </c>
      <c r="C44" s="118" t="s">
        <v>807</v>
      </c>
      <c r="D44" s="114">
        <v>21</v>
      </c>
    </row>
    <row r="45" spans="1:4" x14ac:dyDescent="0.35">
      <c r="A45" s="119" t="s">
        <v>347</v>
      </c>
      <c r="B45" s="119" t="s">
        <v>342</v>
      </c>
      <c r="C45" s="119" t="s">
        <v>342</v>
      </c>
      <c r="D45" s="115">
        <v>22</v>
      </c>
    </row>
    <row r="46" spans="1:4" ht="16" customHeight="1" x14ac:dyDescent="0.35">
      <c r="A46" s="119" t="s">
        <v>601</v>
      </c>
      <c r="B46" s="119" t="s">
        <v>597</v>
      </c>
      <c r="C46" s="119" t="s">
        <v>597</v>
      </c>
      <c r="D46" s="115">
        <v>23</v>
      </c>
    </row>
    <row r="47" spans="1:4" ht="16" customHeight="1" x14ac:dyDescent="0.35">
      <c r="A47" s="119" t="s">
        <v>866</v>
      </c>
      <c r="B47" s="119" t="s">
        <v>460</v>
      </c>
      <c r="C47" s="119" t="s">
        <v>460</v>
      </c>
      <c r="D47" s="115">
        <v>24</v>
      </c>
    </row>
    <row r="48" spans="1:4" ht="16" customHeight="1" x14ac:dyDescent="0.35">
      <c r="A48" s="118" t="s">
        <v>568</v>
      </c>
      <c r="B48" s="118" t="s">
        <v>565</v>
      </c>
      <c r="C48" s="118" t="s">
        <v>804</v>
      </c>
      <c r="D48" s="153">
        <v>25</v>
      </c>
    </row>
    <row r="49" spans="1:6" x14ac:dyDescent="0.35">
      <c r="A49" s="118" t="s">
        <v>568</v>
      </c>
      <c r="B49" s="118" t="s">
        <v>565</v>
      </c>
      <c r="C49" s="118" t="s">
        <v>857</v>
      </c>
      <c r="D49" s="153"/>
    </row>
    <row r="50" spans="1:6" x14ac:dyDescent="0.35">
      <c r="A50" s="118" t="s">
        <v>837</v>
      </c>
      <c r="B50" s="118" t="s">
        <v>699</v>
      </c>
      <c r="C50" s="118" t="s">
        <v>818</v>
      </c>
      <c r="D50" s="153">
        <v>26</v>
      </c>
    </row>
    <row r="51" spans="1:6" x14ac:dyDescent="0.35">
      <c r="A51" s="118" t="s">
        <v>837</v>
      </c>
      <c r="B51" s="118" t="s">
        <v>699</v>
      </c>
      <c r="C51" s="118" t="s">
        <v>817</v>
      </c>
      <c r="D51" s="153"/>
    </row>
    <row r="52" spans="1:6" x14ac:dyDescent="0.35">
      <c r="A52" s="119" t="s">
        <v>838</v>
      </c>
      <c r="B52" s="119" t="s">
        <v>584</v>
      </c>
      <c r="C52" s="119" t="s">
        <v>584</v>
      </c>
      <c r="D52" s="115">
        <v>27</v>
      </c>
    </row>
    <row r="53" spans="1:6" x14ac:dyDescent="0.35">
      <c r="A53" s="119" t="s">
        <v>839</v>
      </c>
      <c r="B53" s="119" t="s">
        <v>743</v>
      </c>
      <c r="C53" s="119" t="s">
        <v>743</v>
      </c>
      <c r="D53" s="115">
        <v>28</v>
      </c>
    </row>
    <row r="54" spans="1:6" x14ac:dyDescent="0.35">
      <c r="A54" s="118" t="s">
        <v>867</v>
      </c>
      <c r="B54" s="118" t="s">
        <v>527</v>
      </c>
      <c r="C54" s="118" t="s">
        <v>799</v>
      </c>
      <c r="D54" s="153">
        <v>29</v>
      </c>
    </row>
    <row r="55" spans="1:6" x14ac:dyDescent="0.35">
      <c r="A55" s="118" t="s">
        <v>867</v>
      </c>
      <c r="B55" s="118" t="s">
        <v>527</v>
      </c>
      <c r="C55" s="118" t="s">
        <v>800</v>
      </c>
      <c r="D55" s="153"/>
    </row>
    <row r="56" spans="1:6" x14ac:dyDescent="0.35">
      <c r="A56" s="118" t="s">
        <v>868</v>
      </c>
      <c r="B56" s="118" t="s">
        <v>527</v>
      </c>
      <c r="C56" s="118" t="s">
        <v>801</v>
      </c>
      <c r="D56" s="153">
        <v>30</v>
      </c>
    </row>
    <row r="57" spans="1:6" x14ac:dyDescent="0.35">
      <c r="A57" s="118" t="s">
        <v>868</v>
      </c>
      <c r="B57" s="118" t="s">
        <v>527</v>
      </c>
      <c r="C57" s="118" t="s">
        <v>858</v>
      </c>
      <c r="D57" s="153"/>
    </row>
    <row r="58" spans="1:6" x14ac:dyDescent="0.35">
      <c r="A58" s="118" t="s">
        <v>868</v>
      </c>
      <c r="B58" s="118" t="s">
        <v>527</v>
      </c>
      <c r="C58" s="118" t="s">
        <v>803</v>
      </c>
      <c r="D58" s="153"/>
    </row>
    <row r="61" spans="1:6" s="116" customFormat="1" x14ac:dyDescent="0.35">
      <c r="A61" s="117" t="s">
        <v>842</v>
      </c>
      <c r="B61" s="117" t="s">
        <v>9</v>
      </c>
      <c r="C61" s="120" t="s">
        <v>824</v>
      </c>
      <c r="D61" s="120" t="s">
        <v>869</v>
      </c>
    </row>
    <row r="62" spans="1:6" s="116" customFormat="1" ht="34" customHeight="1" x14ac:dyDescent="0.35">
      <c r="A62" s="118" t="s">
        <v>864</v>
      </c>
      <c r="B62" s="122" t="s">
        <v>437</v>
      </c>
      <c r="C62" s="118" t="s">
        <v>437</v>
      </c>
      <c r="D62" s="154" t="s">
        <v>872</v>
      </c>
      <c r="E62" s="121"/>
      <c r="F62" s="121"/>
    </row>
    <row r="63" spans="1:6" s="116" customFormat="1" ht="34" customHeight="1" x14ac:dyDescent="0.35">
      <c r="A63" s="118" t="s">
        <v>442</v>
      </c>
      <c r="B63" s="122" t="s">
        <v>437</v>
      </c>
      <c r="C63" s="118" t="s">
        <v>789</v>
      </c>
      <c r="D63" s="154"/>
      <c r="F63" s="121"/>
    </row>
    <row r="64" spans="1:6" s="116" customFormat="1" ht="34" customHeight="1" x14ac:dyDescent="0.35">
      <c r="A64" s="118" t="s">
        <v>871</v>
      </c>
      <c r="B64" s="122" t="s">
        <v>597</v>
      </c>
      <c r="C64" s="118" t="s">
        <v>615</v>
      </c>
      <c r="D64" s="154" t="s">
        <v>870</v>
      </c>
      <c r="E64" s="121"/>
      <c r="F64" s="121"/>
    </row>
    <row r="65" spans="1:6" s="116" customFormat="1" ht="34" customHeight="1" x14ac:dyDescent="0.35">
      <c r="A65" s="118" t="s">
        <v>348</v>
      </c>
      <c r="B65" s="122" t="s">
        <v>597</v>
      </c>
      <c r="C65" s="118" t="s">
        <v>619</v>
      </c>
      <c r="D65" s="154"/>
      <c r="F65" s="121"/>
    </row>
    <row r="66" spans="1:6" ht="34" customHeight="1" x14ac:dyDescent="0.35"/>
  </sheetData>
  <mergeCells count="20">
    <mergeCell ref="D62:D63"/>
    <mergeCell ref="D64:D65"/>
    <mergeCell ref="D38:D40"/>
    <mergeCell ref="D41:D42"/>
    <mergeCell ref="D48:D49"/>
    <mergeCell ref="D50:D51"/>
    <mergeCell ref="D54:D55"/>
    <mergeCell ref="D56:D58"/>
    <mergeCell ref="D36:D37"/>
    <mergeCell ref="D2:D5"/>
    <mergeCell ref="D6:D9"/>
    <mergeCell ref="D10:D11"/>
    <mergeCell ref="D12:D13"/>
    <mergeCell ref="D14:D17"/>
    <mergeCell ref="D19:D20"/>
    <mergeCell ref="D21:D22"/>
    <mergeCell ref="D24:D26"/>
    <mergeCell ref="D28:D29"/>
    <mergeCell ref="D30:D31"/>
    <mergeCell ref="D33:D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EB2D578BA3BE4695124FAE972E4116" ma:contentTypeVersion="7" ma:contentTypeDescription="Crear nuevo documento." ma:contentTypeScope="" ma:versionID="8e5a457416b6f0d84d953288dd78448a">
  <xsd:schema xmlns:xsd="http://www.w3.org/2001/XMLSchema" xmlns:xs="http://www.w3.org/2001/XMLSchema" xmlns:p="http://schemas.microsoft.com/office/2006/metadata/properties" xmlns:ns2="4ee53e1f-3a62-432a-9af0-febb74d33f41" xmlns:ns3="a026c44b-622c-4583-a638-a3a19adbc187" targetNamespace="http://schemas.microsoft.com/office/2006/metadata/properties" ma:root="true" ma:fieldsID="dbe623a39d14e87b72a22579abe24717" ns2:_="" ns3:_="">
    <xsd:import namespace="4ee53e1f-3a62-432a-9af0-febb74d33f41"/>
    <xsd:import namespace="a026c44b-622c-4583-a638-a3a19adbc187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53e1f-3a62-432a-9af0-febb74d33f41" elementFormDefault="qualified">
    <xsd:import namespace="http://schemas.microsoft.com/office/2006/documentManagement/types"/>
    <xsd:import namespace="http://schemas.microsoft.com/office/infopath/2007/PartnerControls"/>
    <xsd:element name="status" ma:index="4" nillable="true" ma:displayName="status" ma:default="Vigente" ma:format="Dropdown" ma:internalName="status" ma:readOnly="false">
      <xsd:simpleType>
        <xsd:restriction base="dms:Choice">
          <xsd:enumeration value="Vigente"/>
          <xsd:enumeration value="Obsoleto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6c44b-622c-4583-a638-a3a19adbc18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ee53e1f-3a62-432a-9af0-febb74d33f41">Vigente</status>
  </documentManagement>
</p:properties>
</file>

<file path=customXml/itemProps1.xml><?xml version="1.0" encoding="utf-8"?>
<ds:datastoreItem xmlns:ds="http://schemas.openxmlformats.org/officeDocument/2006/customXml" ds:itemID="{E95F069D-13A2-4F75-9250-11CC81D89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53e1f-3a62-432a-9af0-febb74d33f41"/>
    <ds:schemaRef ds:uri="a026c44b-622c-4583-a638-a3a19adbc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4CAD45-4BB1-45B4-AE82-BBE0A241FA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394C37-A5ED-456E-ABBC-175818259DDA}">
  <ds:schemaRefs>
    <ds:schemaRef ds:uri="http://schemas.microsoft.com/office/2006/metadata/properties"/>
    <ds:schemaRef ds:uri="http://schemas.microsoft.com/office/infopath/2007/PartnerControls"/>
    <ds:schemaRef ds:uri="4ee53e1f-3a62-432a-9af0-febb74d33f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Formulario</vt:lpstr>
      <vt:lpstr>Evaluación Inspectores</vt:lpstr>
      <vt:lpstr>Evaluación Unidades </vt:lpstr>
      <vt:lpstr>Promedios </vt:lpstr>
      <vt:lpstr>Resumen</vt:lpstr>
      <vt:lpstr>Formulario!Área_de_impresión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Arroyo Campos - IS</dc:creator>
  <cp:keywords/>
  <dc:description/>
  <cp:lastModifiedBy>Samantha Fonseca Mora - IS</cp:lastModifiedBy>
  <cp:revision/>
  <dcterms:created xsi:type="dcterms:W3CDTF">2018-08-08T20:43:59Z</dcterms:created>
  <dcterms:modified xsi:type="dcterms:W3CDTF">2023-01-30T21:49:15Z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0x010100A8EB2D578BA3BE4695124FAE972E4116</vt:lpwstr>
  </property>
</Properties>
</file>